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<sst xmlns="http://schemas.openxmlformats.org/spreadsheetml/2006/main" count="348" uniqueCount="203">
  <si>
    <t>ИСПОЛНЕНИЕ КАССОВОГО ПЛАНА В ЧАСТИ ДОХОДОВ</t>
  </si>
  <si>
    <t/>
  </si>
  <si>
    <t>Коды</t>
  </si>
  <si>
    <t>на</t>
  </si>
  <si>
    <t>31.07.2018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</si>
  <si>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</si>
  <si>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</si>
  <si>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</si>
  <si>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</si>
  <si>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</si>
  <si>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</si>
  <si>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</si>
  <si>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</si>
  <si>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</si>
  <si>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</si>
  <si>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</si>
  <si>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</si>
  <si>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с=01.01.2018; по=31.07.2018; Баланс=Финансовый орган  </t>
  </si>
  <si>
    <t>Код по Бюджетной классификации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</si>
  <si>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</si>
  <si>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</si>
  <si>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</si>
  <si>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</si>
  <si>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</si>
  <si>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</si>
  <si>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</si>
  <si>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</si>
  <si>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</si>
  <si>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</si>
  <si>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</si>
  <si>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</si>
  <si>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</si>
  <si>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</si>
  <si>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</si>
  <si>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</si>
  <si>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</si>
  <si>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</si>
  <si>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100 00000000 00 0000 000</t>
  </si>
  <si>
    <t>ФЕДЕРАЛЬНОЕ КАЗНАЧЕЙСТВО</t>
  </si>
  <si>
    <t>91,56</t>
  </si>
  <si>
    <t>68,67</t>
  </si>
  <si>
    <t>100 10000000 00 0000 000</t>
  </si>
  <si>
    <t>НАЛОГОВЫЕ И НЕНАЛОГОВЫЕ ДОХОДЫ</t>
  </si>
  <si>
    <t>100 10300000 00 0000 000</t>
  </si>
  <si>
    <t>НАЛОГИ НА ТОВАРЫ (РАБОТЫ, УСЛУГИ), РЕАЛИЗУЕМЫЕ НА ТЕРРИТОРИИ РОССИЙСКОЙ ФЕДЕРАЦИИ</t>
  </si>
  <si>
    <t>100 10302000 01 0000 110</t>
  </si>
  <si>
    <t>Акцизы по подакцизным товарам (продукции), производимым на территории Российской Федерации</t>
  </si>
  <si>
    <t>100 10302230 01 0000 110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</si>
  <si>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</si>
  <si>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113,41</t>
  </si>
  <si>
    <t>85,07</t>
  </si>
  <si>
    <t>100 10302240 01 0000 110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</si>
  <si>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</si>
  <si>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101,47</t>
  </si>
  <si>
    <t>76,74</t>
  </si>
  <si>
    <t>100 10302250 01 0000 110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</si>
  <si>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</si>
  <si>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83,31</t>
  </si>
  <si>
    <t>62,49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</si>
  <si>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</si>
  <si>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</si>
  <si>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114,83</t>
  </si>
  <si>
    <t>86,29</t>
  </si>
  <si>
    <t>182 00000000 00 0000 000</t>
  </si>
  <si>
    <t>ФЕДЕРАЛЬНАЯ НАЛОГОВАЯ СЛУЖБА</t>
  </si>
  <si>
    <t>106,46</t>
  </si>
  <si>
    <t>90,38</t>
  </si>
  <si>
    <t>182 10000000 00 0000 000</t>
  </si>
  <si>
    <t>182 10100000 00 0000 000</t>
  </si>
  <si>
    <t>НАЛОГИ НА ПРИБЫЛЬ, ДОХОДЫ</t>
  </si>
  <si>
    <t>118,20</t>
  </si>
  <si>
    <t>114,23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</si>
  <si>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</si>
  <si>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</si>
  <si>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</si>
  <si>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</si>
  <si>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0,00</t>
  </si>
  <si>
    <t>182 10102010 01 1000 110</t>
  </si>
  <si>
    <t>182 10102010 01 2100 110</t>
  </si>
  <si>
    <t>182 10102010 01 3000 110</t>
  </si>
  <si>
    <t>182 10102030 01 1000 110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</si>
  <si>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</si>
  <si>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182 10102030 01 2100 110</t>
  </si>
  <si>
    <t>182 10102030 01 3000 110</t>
  </si>
  <si>
    <t>182 10500000 00 0000 000</t>
  </si>
  <si>
    <t>НАЛОГИ НА СОВОКУПНЫЙ ДОХОД</t>
  </si>
  <si>
    <t>238,26</t>
  </si>
  <si>
    <t>182 10503000 01 0000 110</t>
  </si>
  <si>
    <t>Единый сельскохозяйственный налог</t>
  </si>
  <si>
    <t>182 10503010 01 0000 110</t>
  </si>
  <si>
    <t>182 10503010 01 1000 110</t>
  </si>
  <si>
    <t>182 10503010 01 2100 110</t>
  </si>
  <si>
    <t>182 10503010 01 3000 110</t>
  </si>
  <si>
    <t>182 10600000 00 0000 000</t>
  </si>
  <si>
    <t>НАЛОГИ НА ИМУЩЕСТВО</t>
  </si>
  <si>
    <t>51,12</t>
  </si>
  <si>
    <t>28,03</t>
  </si>
  <si>
    <t>182 10601000 00 0000 110</t>
  </si>
  <si>
    <t>Налог на имущество физических лиц</t>
  </si>
  <si>
    <t>51,03</t>
  </si>
  <si>
    <t>30,67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</si>
  <si>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</si>
  <si>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</si>
  <si>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</si>
  <si>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</si>
  <si>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182 10601030 10 2100 110</t>
  </si>
  <si>
    <t>182 10606000 00 0000 110</t>
  </si>
  <si>
    <t>Земельный налог</t>
  </si>
  <si>
    <t>51,13</t>
  </si>
  <si>
    <t>27,76</t>
  </si>
  <si>
    <t>182 10606030 00 0000 110</t>
  </si>
  <si>
    <t>Земельный налог с организаций</t>
  </si>
  <si>
    <t>47,64</t>
  </si>
  <si>
    <t>25,47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</si>
  <si>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</si>
  <si>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</si>
  <si>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182 10606033 10 1000 110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</si>
  <si>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</si>
  <si>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182 10606033 10 2100 110</t>
  </si>
  <si>
    <t>182 10606033 10 3000 110</t>
  </si>
  <si>
    <t>182 10606040 00 0000 110</t>
  </si>
  <si>
    <t>Земельный налог с физических лиц</t>
  </si>
  <si>
    <t>96,39</t>
  </si>
  <si>
    <t>65,16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</si>
  <si>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</si>
  <si>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</si>
  <si>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182 10606043 10 1000 110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</si>
  <si>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</si>
  <si>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182 10606043 10 2100 110</t>
  </si>
  <si>
    <t>650 00000000 00 0000 000</t>
  </si>
  <si>
    <t>АДМИНИСТРАЦИЯ СЕЛЬСКОГО ПОСЕЛЕНИЯ ГОРНОПРАВДИНСК</t>
  </si>
  <si>
    <t>73,06</t>
  </si>
  <si>
    <t>55,30</t>
  </si>
  <si>
    <t>650 10000000 00 0000 000</t>
  </si>
  <si>
    <t>74,00</t>
  </si>
  <si>
    <t>48,36</t>
  </si>
  <si>
    <t>650 11100000 00 0000 000</t>
  </si>
  <si>
    <t>ДОХОДЫ ОТ ИСПОЛЬЗОВАНИЯ ИМУЩЕСТВА, НАХОДЯЩЕГОСЯ В ГОСУДАРСТВЕННОЙ И МУНИЦИПАЛЬНОЙ СОБСТВЕННОСТИ</t>
  </si>
  <si>
    <t>75,21</t>
  </si>
  <si>
    <t>49,82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</si>
  <si>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</si>
  <si>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</si>
  <si>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91,17</t>
  </si>
  <si>
    <t>40,52</t>
  </si>
  <si>
    <t>650 11105020 00 0000 120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</si>
  <si>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</si>
  <si>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650 11105025 10 0000 120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</si>
  <si>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</si>
  <si>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</si>
  <si>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</si>
  <si>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75,20</t>
  </si>
  <si>
    <t>49,83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</si>
  <si>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</si>
  <si>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</si>
  <si>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</si>
  <si>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</si>
  <si>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650 11400000 00 0000 000</t>
  </si>
  <si>
    <t>ДОХОДЫ ОТ ПРОДАЖИ МАТЕРИАЛЬНЫХ И НЕМАТЕРИАЛЬНЫХ АКТИВОВ</t>
  </si>
  <si>
    <t>63,83</t>
  </si>
  <si>
    <t>37,42</t>
  </si>
  <si>
    <t>650 11401000 00 0000 410</t>
  </si>
  <si>
    <t>Доходы от продажи квартир</t>
  </si>
  <si>
    <t>650 11401050 10 0000 410</t>
  </si>
  <si>
    <t>Доходы от продажи квартир, находящихся в собственности сельских поселений</t>
  </si>
  <si>
    <t>650 20000000 00 0000 000</t>
  </si>
  <si>
    <t>БЕЗВОЗМЕЗДНЫЕ ПОСТУПЛЕНИЯ</t>
  </si>
  <si>
    <t>72,97</t>
  </si>
  <si>
    <t>56,07</t>
  </si>
  <si>
    <t>650 20200000 00 0000 000</t>
  </si>
  <si>
    <t>БЕЗВОЗМЕЗДНЫЕ ПОСТУПЛЕНИЯ ОТ ДРУГИХ БЮДЖЕТОВ БЮДЖЕТНОЙ СИСТЕМЫ РОССИЙСКОЙ ФЕДЕРАЦИИ</t>
  </si>
  <si>
    <t>650 20210000 00 0000 151</t>
  </si>
  <si>
    <t>Дотации бюджетам бюджетной системы Российской Федерации</t>
  </si>
  <si>
    <t>77,78</t>
  </si>
  <si>
    <t>58,33</t>
  </si>
  <si>
    <t>650 20215001 00 0000 151</t>
  </si>
  <si>
    <t>Дотации на выравнивание бюджетной обеспеченности</t>
  </si>
  <si>
    <t>650 20215001 10 0000 151</t>
  </si>
  <si>
    <t>Дотации бюджетам сельских поселений на выравнивание бюджетной обеспеченности</t>
  </si>
  <si>
    <t>650 20230000 00 0000 151</t>
  </si>
  <si>
    <t>Субвенции бюджетам бюджетной системы Российской Федерации</t>
  </si>
  <si>
    <t>92,70</t>
  </si>
  <si>
    <t>77,53</t>
  </si>
  <si>
    <t>650 20235118 00 0000 151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</si>
  <si>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</si>
  <si>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92,31</t>
  </si>
  <si>
    <t>80,36</t>
  </si>
  <si>
    <t>650 20235118 10 0000 151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</si>
  <si>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</si>
  <si>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650 20235930 00 0000 151</t>
  </si>
  <si>
    <t>Субвенции бюджетам на государственную регистрацию актов гражданского состояния</t>
  </si>
  <si>
    <t>93,90</t>
  </si>
  <si>
    <t>70,11</t>
  </si>
  <si>
    <t>650 20235930 10 0000 151</t>
  </si>
  <si>
    <t>Субвенции бюджетам сельских поселений на государственную регистрацию актов гражданского состояния</t>
  </si>
  <si>
    <t>650 20240000 00 0000 151</t>
  </si>
  <si>
    <t>Иные межбюджетные трансферты</t>
  </si>
  <si>
    <t>49,54</t>
  </si>
  <si>
    <t>42,80</t>
  </si>
  <si>
    <t>650 20249999 00 0000 151</t>
  </si>
  <si>
    <t>Прочие межбюджетные трансферты, передаваемые бюджетам</t>
  </si>
  <si>
    <t>650 20249999 10 0000 151</t>
  </si>
  <si>
    <t>Прочие межбюджетные трансферты, передаваемые бюджетам сельских поселений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</si>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</sst>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 wrapText="1"/>
    </xf>
    <xf numFmtId="14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6" fillId="33" borderId="11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lef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4" fontId="4" fillId="33" borderId="19" xfId="0" applyNumberFormat="1" applyFont="1" applyFill="1" applyBorder="1" applyAlignment="1">
      <alignment horizontal="righ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19" xfId="0" applyNumberFormat="1" applyFont="1" applyFill="1" applyBorder="1" applyAlignment="1">
      <alignment horizontal="right" vertical="center" wrapText="1"/>
    </xf>
    <xf numFmtId="4" fontId="4" fillId="33" borderId="20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19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lef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14" fontId="8" fillId="33" borderId="0" xfId="0" applyNumberFormat="1" applyFont="1" applyFill="1" applyAlignment="1">
      <alignment horizontal="center" vertical="top" wrapText="1"/>
    </xf>
    <xf numFmtId="0" fontId="9" fillId="33" borderId="27" xfId="0" applyNumberFormat="1" applyFont="1" applyFill="1" applyBorder="1" applyAlignment="1">
      <alignment horizontal="center" vertical="top" wrapText="1"/>
    </xf>
    <xf numFmtId="0" fontId="4" fillId="33" borderId="19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tabSelected="1" zoomScalePageLayoutView="0" workbookViewId="0" topLeftCell="A73">
      <selection activeCell="A82" sqref="A82:IV85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13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 t="s">
        <v>2</v>
      </c>
    </row>
    <row r="3" spans="1:19" s="1" customFormat="1" ht="13.5" customHeight="1">
      <c r="A3" s="5" t="s">
        <v>3</v>
      </c>
      <c r="B3" s="5"/>
      <c r="C3" s="5"/>
      <c r="D3" s="5"/>
      <c r="E3" s="5"/>
      <c r="F3" s="5"/>
      <c r="G3" s="5"/>
      <c r="H3" s="5"/>
      <c r="I3" s="5"/>
      <c r="J3" s="6" t="s">
        <v>4</v>
      </c>
      <c r="K3" s="6"/>
      <c r="L3" s="7" t="s">
        <v>5</v>
      </c>
      <c r="M3" s="7"/>
      <c r="N3" s="7"/>
      <c r="O3" s="7"/>
      <c r="P3" s="7"/>
      <c r="Q3" s="7"/>
      <c r="R3" s="7"/>
      <c r="S3" s="8">
        <v>43312</v>
      </c>
    </row>
    <row r="4" spans="1:19" s="1" customFormat="1" ht="15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9" t="s">
        <v>1</v>
      </c>
    </row>
    <row r="5" spans="1:19" s="1" customFormat="1" ht="15" customHeight="1">
      <c r="A5" s="10" t="s">
        <v>6</v>
      </c>
      <c r="B5" s="10"/>
      <c r="C5" s="10"/>
      <c r="D5" s="10"/>
      <c r="E5" s="10"/>
      <c r="F5" s="10"/>
      <c r="G5" s="11" t="s">
        <v>7</v>
      </c>
      <c r="H5" s="11"/>
      <c r="I5" s="11"/>
      <c r="J5" s="11"/>
      <c r="K5" s="11"/>
      <c r="L5" s="11"/>
      <c r="M5" s="11"/>
      <c r="N5" s="11"/>
      <c r="O5" s="11"/>
      <c r="P5" s="11"/>
      <c r="Q5" s="7" t="s">
        <v>8</v>
      </c>
      <c r="R5" s="7"/>
      <c r="S5" s="12" t="s">
        <v>1</v>
      </c>
    </row>
    <row r="6" spans="1:19" s="1" customFormat="1" ht="15" customHeight="1">
      <c r="A6" s="10" t="s">
        <v>9</v>
      </c>
      <c r="B6" s="10"/>
      <c r="C6" s="10"/>
      <c r="D6" s="10"/>
      <c r="E6" s="10"/>
      <c r="F6" s="10"/>
      <c r="G6" s="10"/>
      <c r="H6" s="11" t="s">
        <v>1</v>
      </c>
      <c r="I6" s="11"/>
      <c r="J6" s="11"/>
      <c r="K6" s="11"/>
      <c r="L6" s="11"/>
      <c r="M6" s="11"/>
      <c r="N6" s="11"/>
      <c r="O6" s="11"/>
      <c r="P6" s="11"/>
      <c r="Q6" s="7" t="s">
        <v>10</v>
      </c>
      <c r="R6" s="7"/>
      <c r="S6" s="12" t="s">
        <v>1</v>
      </c>
    </row>
    <row r="7" spans="1:19" s="1" customFormat="1" ht="15" customHeight="1">
      <c r="A7" s="10" t="s">
        <v>11</v>
      </c>
      <c r="B7" s="10"/>
      <c r="C7" s="10"/>
      <c r="D7" s="11" t="s">
        <v>12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7" t="s">
        <v>1</v>
      </c>
      <c r="R7" s="7"/>
      <c r="S7" s="12" t="s">
        <v>1</v>
      </c>
    </row>
    <row r="8" spans="1:19" s="1" customFormat="1" ht="13.5" customHeight="1">
      <c r="A8" s="10" t="s">
        <v>13</v>
      </c>
      <c r="B8" s="10"/>
      <c r="C8" s="10"/>
      <c r="D8" s="10"/>
      <c r="E8" s="13" t="s">
        <v>1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7" t="s">
        <v>14</v>
      </c>
      <c r="R8" s="7"/>
      <c r="S8" s="14" t="s">
        <v>15</v>
      </c>
    </row>
    <row r="9" spans="1:19" s="1" customFormat="1" ht="13.5" customHeight="1">
      <c r="A9" s="10" t="s">
        <v>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s="1" customFormat="1" ht="13.5" customHeight="1">
      <c r="A10" s="15" t="s">
        <v>16</v>
      </c>
      <c r="B10" s="10" t="s">
        <v>17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s="1" customFormat="1" ht="13.5" customHeight="1">
      <c r="A11" s="10" t="s">
        <v>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s="1" customFormat="1" ht="13.5" customHeight="1">
      <c r="A12" s="16" t="s">
        <v>18</v>
      </c>
      <c r="B12" s="16"/>
      <c r="C12" s="16"/>
      <c r="D12" s="16"/>
      <c r="E12" s="16"/>
      <c r="F12" s="17" t="s">
        <v>19</v>
      </c>
      <c r="G12" s="17"/>
      <c r="H12" s="17"/>
      <c r="I12" s="16" t="s">
        <v>20</v>
      </c>
      <c r="J12" s="16"/>
      <c r="K12" s="16"/>
      <c r="L12" s="16"/>
      <c r="M12" s="16" t="s">
        <v>23</v>
      </c>
      <c r="N12" s="16" t="s">
        <v>24</v>
      </c>
      <c r="O12" s="16"/>
      <c r="P12" s="22" t="s">
        <v>27</v>
      </c>
      <c r="Q12" s="22"/>
      <c r="R12" s="22"/>
      <c r="S12" s="22"/>
    </row>
    <row r="13" spans="1:19" s="1" customFormat="1" ht="45" customHeight="1">
      <c r="A13" s="16"/>
      <c r="B13" s="16"/>
      <c r="C13" s="16"/>
      <c r="D13" s="16"/>
      <c r="E13" s="16"/>
      <c r="F13" s="17"/>
      <c r="G13" s="17"/>
      <c r="H13" s="17"/>
      <c r="I13" s="18" t="s">
        <v>21</v>
      </c>
      <c r="J13" s="18"/>
      <c r="K13" s="19" t="s">
        <v>22</v>
      </c>
      <c r="L13" s="19"/>
      <c r="M13" s="16"/>
      <c r="N13" s="20" t="s">
        <v>25</v>
      </c>
      <c r="O13" s="21" t="s">
        <v>26</v>
      </c>
      <c r="P13" s="18" t="s">
        <v>25</v>
      </c>
      <c r="Q13" s="18"/>
      <c r="R13" s="23" t="s">
        <v>26</v>
      </c>
      <c r="S13" s="23"/>
    </row>
    <row r="14" spans="1:19" s="1" customFormat="1" ht="12.75" customHeight="1">
      <c r="A14" s="24" t="s">
        <v>28</v>
      </c>
      <c r="B14" s="24"/>
      <c r="C14" s="24"/>
      <c r="D14" s="24"/>
      <c r="E14" s="24"/>
      <c r="F14" s="25" t="s">
        <v>29</v>
      </c>
      <c r="G14" s="25"/>
      <c r="H14" s="25"/>
      <c r="I14" s="24" t="s">
        <v>30</v>
      </c>
      <c r="J14" s="24"/>
      <c r="K14" s="25" t="s">
        <v>31</v>
      </c>
      <c r="L14" s="25"/>
      <c r="M14" s="26" t="s">
        <v>32</v>
      </c>
      <c r="N14" s="26" t="s">
        <v>33</v>
      </c>
      <c r="O14" s="27" t="s">
        <v>34</v>
      </c>
      <c r="P14" s="24" t="s">
        <v>35</v>
      </c>
      <c r="Q14" s="24"/>
      <c r="R14" s="28" t="s">
        <v>36</v>
      </c>
      <c r="S14" s="28"/>
    </row>
    <row r="15" spans="1:19" s="1" customFormat="1" ht="13.5" customHeight="1">
      <c r="A15" s="29" t="s">
        <v>37</v>
      </c>
      <c r="B15" s="29"/>
      <c r="C15" s="29"/>
      <c r="D15" s="29"/>
      <c r="E15" s="29"/>
      <c r="F15" s="30" t="s">
        <v>38</v>
      </c>
      <c r="G15" s="30"/>
      <c r="H15" s="30"/>
      <c r="I15" s="31">
        <f>2823400</f>
        <v>2823400</v>
      </c>
      <c r="J15" s="31"/>
      <c r="K15" s="32">
        <f>3764500</f>
        <v>3764500</v>
      </c>
      <c r="L15" s="32"/>
      <c r="M15" s="33">
        <f>2585011.95</f>
        <v>2585011.95</v>
      </c>
      <c r="N15" s="34" t="s">
        <v>39</v>
      </c>
      <c r="O15" s="35" t="s">
        <v>40</v>
      </c>
      <c r="P15" s="31">
        <f>238388.05</f>
        <v>238388.05</v>
      </c>
      <c r="Q15" s="31"/>
      <c r="R15" s="36">
        <f>1179488.05</f>
        <v>1179488.05</v>
      </c>
      <c r="S15" s="36"/>
    </row>
    <row r="16" spans="1:19" s="1" customFormat="1" ht="13.5" customHeight="1">
      <c r="A16" s="29" t="s">
        <v>41</v>
      </c>
      <c r="B16" s="29"/>
      <c r="C16" s="29"/>
      <c r="D16" s="29"/>
      <c r="E16" s="29"/>
      <c r="F16" s="30" t="s">
        <v>42</v>
      </c>
      <c r="G16" s="30"/>
      <c r="H16" s="30"/>
      <c r="I16" s="31">
        <f>2823400</f>
        <v>2823400</v>
      </c>
      <c r="J16" s="31"/>
      <c r="K16" s="32">
        <f>3764500</f>
        <v>3764500</v>
      </c>
      <c r="L16" s="32"/>
      <c r="M16" s="33">
        <f>2585011.95</f>
        <v>2585011.95</v>
      </c>
      <c r="N16" s="34" t="s">
        <v>39</v>
      </c>
      <c r="O16" s="35" t="s">
        <v>40</v>
      </c>
      <c r="P16" s="31">
        <f>238388.05</f>
        <v>238388.05</v>
      </c>
      <c r="Q16" s="31"/>
      <c r="R16" s="36">
        <f>1179488.05</f>
        <v>1179488.05</v>
      </c>
      <c r="S16" s="36"/>
    </row>
    <row r="17" spans="1:19" s="1" customFormat="1" ht="33.75" customHeight="1">
      <c r="A17" s="29" t="s">
        <v>43</v>
      </c>
      <c r="B17" s="29"/>
      <c r="C17" s="29"/>
      <c r="D17" s="29"/>
      <c r="E17" s="29"/>
      <c r="F17" s="30" t="s">
        <v>44</v>
      </c>
      <c r="G17" s="30"/>
      <c r="H17" s="30"/>
      <c r="I17" s="31">
        <f>2823400</f>
        <v>2823400</v>
      </c>
      <c r="J17" s="31"/>
      <c r="K17" s="32">
        <f>3764500</f>
        <v>3764500</v>
      </c>
      <c r="L17" s="32"/>
      <c r="M17" s="33">
        <f>2585011.95</f>
        <v>2585011.95</v>
      </c>
      <c r="N17" s="34" t="s">
        <v>39</v>
      </c>
      <c r="O17" s="35" t="s">
        <v>40</v>
      </c>
      <c r="P17" s="31">
        <f>238388.05</f>
        <v>238388.05</v>
      </c>
      <c r="Q17" s="31"/>
      <c r="R17" s="36">
        <f>1179488.05</f>
        <v>1179488.05</v>
      </c>
      <c r="S17" s="36"/>
    </row>
    <row r="18" spans="1:19" s="1" customFormat="1" ht="33.75" customHeight="1">
      <c r="A18" s="29" t="s">
        <v>45</v>
      </c>
      <c r="B18" s="29"/>
      <c r="C18" s="29"/>
      <c r="D18" s="29"/>
      <c r="E18" s="29"/>
      <c r="F18" s="30" t="s">
        <v>46</v>
      </c>
      <c r="G18" s="30"/>
      <c r="H18" s="30"/>
      <c r="I18" s="31">
        <f>2823400</f>
        <v>2823400</v>
      </c>
      <c r="J18" s="31"/>
      <c r="K18" s="32">
        <f>3764500</f>
        <v>3764500</v>
      </c>
      <c r="L18" s="32"/>
      <c r="M18" s="33">
        <f>2585011.95</f>
        <v>2585011.95</v>
      </c>
      <c r="N18" s="34" t="s">
        <v>39</v>
      </c>
      <c r="O18" s="35" t="s">
        <v>40</v>
      </c>
      <c r="P18" s="31">
        <f>238388.05</f>
        <v>238388.05</v>
      </c>
      <c r="Q18" s="31"/>
      <c r="R18" s="36">
        <f>1179488.05</f>
        <v>1179488.05</v>
      </c>
      <c r="S18" s="36"/>
    </row>
    <row r="19" spans="1:19" s="1" customFormat="1" ht="66" customHeight="1">
      <c r="A19" s="29" t="s">
        <v>47</v>
      </c>
      <c r="B19" s="29"/>
      <c r="C19" s="29"/>
      <c r="D19" s="29"/>
      <c r="E19" s="29"/>
      <c r="F19" s="30" t="s">
        <v>48</v>
      </c>
      <c r="G19" s="30"/>
      <c r="H19" s="30"/>
      <c r="I19" s="31">
        <f>981900</f>
        <v>981900</v>
      </c>
      <c r="J19" s="31"/>
      <c r="K19" s="32">
        <f>1309000</f>
        <v>1309000</v>
      </c>
      <c r="L19" s="32"/>
      <c r="M19" s="33">
        <f>1113555.74</f>
        <v>1113555.74</v>
      </c>
      <c r="N19" s="34" t="s">
        <v>49</v>
      </c>
      <c r="O19" s="35" t="s">
        <v>50</v>
      </c>
      <c r="P19" s="31">
        <f>-131655.74</f>
        <v>-131655.74</v>
      </c>
      <c r="Q19" s="31"/>
      <c r="R19" s="36">
        <f>195444.26</f>
        <v>195444.26</v>
      </c>
      <c r="S19" s="36"/>
    </row>
    <row r="20" spans="1:19" s="1" customFormat="1" ht="75.75" customHeight="1">
      <c r="A20" s="29" t="s">
        <v>51</v>
      </c>
      <c r="B20" s="29"/>
      <c r="C20" s="29"/>
      <c r="D20" s="29"/>
      <c r="E20" s="29"/>
      <c r="F20" s="30" t="s">
        <v>52</v>
      </c>
      <c r="G20" s="30"/>
      <c r="H20" s="30"/>
      <c r="I20" s="31">
        <f>9000</f>
        <v>9000</v>
      </c>
      <c r="J20" s="31"/>
      <c r="K20" s="32">
        <f>11900</f>
        <v>11900</v>
      </c>
      <c r="L20" s="32"/>
      <c r="M20" s="33">
        <f>9132.55</f>
        <v>9132.55</v>
      </c>
      <c r="N20" s="34" t="s">
        <v>53</v>
      </c>
      <c r="O20" s="35" t="s">
        <v>54</v>
      </c>
      <c r="P20" s="31">
        <f>-132.55</f>
        <v>-132.55</v>
      </c>
      <c r="Q20" s="31"/>
      <c r="R20" s="36">
        <f>2767.45</f>
        <v>2767.45</v>
      </c>
      <c r="S20" s="36"/>
    </row>
    <row r="21" spans="1:19" s="1" customFormat="1" ht="66" customHeight="1">
      <c r="A21" s="29" t="s">
        <v>55</v>
      </c>
      <c r="B21" s="29"/>
      <c r="C21" s="29"/>
      <c r="D21" s="29"/>
      <c r="E21" s="29"/>
      <c r="F21" s="30" t="s">
        <v>56</v>
      </c>
      <c r="G21" s="30"/>
      <c r="H21" s="30"/>
      <c r="I21" s="31">
        <f>2036600</f>
        <v>2036600</v>
      </c>
      <c r="J21" s="31"/>
      <c r="K21" s="32">
        <f>2715200</f>
        <v>2715200</v>
      </c>
      <c r="L21" s="32"/>
      <c r="M21" s="33">
        <f>1696682.92</f>
        <v>1696682.92</v>
      </c>
      <c r="N21" s="34" t="s">
        <v>57</v>
      </c>
      <c r="O21" s="35" t="s">
        <v>58</v>
      </c>
      <c r="P21" s="31">
        <f>339917.08</f>
        <v>339917.08</v>
      </c>
      <c r="Q21" s="31"/>
      <c r="R21" s="36">
        <f>1018517.08</f>
        <v>1018517.08</v>
      </c>
      <c r="S21" s="36"/>
    </row>
    <row r="22" spans="1:19" s="1" customFormat="1" ht="66" customHeight="1">
      <c r="A22" s="29" t="s">
        <v>59</v>
      </c>
      <c r="B22" s="29"/>
      <c r="C22" s="29"/>
      <c r="D22" s="29"/>
      <c r="E22" s="29"/>
      <c r="F22" s="30" t="s">
        <v>60</v>
      </c>
      <c r="G22" s="30"/>
      <c r="H22" s="30"/>
      <c r="I22" s="31">
        <f>-204100</f>
        <v>-204100</v>
      </c>
      <c r="J22" s="31"/>
      <c r="K22" s="32">
        <f>-271600</f>
        <v>-271600</v>
      </c>
      <c r="L22" s="32"/>
      <c r="M22" s="33">
        <f>-234359.26</f>
        <v>-234359.26</v>
      </c>
      <c r="N22" s="34" t="s">
        <v>61</v>
      </c>
      <c r="O22" s="35" t="s">
        <v>62</v>
      </c>
      <c r="P22" s="31">
        <f>30259.26</f>
        <v>30259.26</v>
      </c>
      <c r="Q22" s="31"/>
      <c r="R22" s="36">
        <f>-37240.74</f>
        <v>-37240.74</v>
      </c>
      <c r="S22" s="36"/>
    </row>
    <row r="23" spans="1:19" s="1" customFormat="1" ht="13.5" customHeight="1">
      <c r="A23" s="29" t="s">
        <v>63</v>
      </c>
      <c r="B23" s="29"/>
      <c r="C23" s="29"/>
      <c r="D23" s="29"/>
      <c r="E23" s="29"/>
      <c r="F23" s="30" t="s">
        <v>64</v>
      </c>
      <c r="G23" s="30"/>
      <c r="H23" s="30"/>
      <c r="I23" s="31">
        <f>9853000</f>
        <v>9853000</v>
      </c>
      <c r="J23" s="31"/>
      <c r="K23" s="32">
        <f>11605800</f>
        <v>11605800</v>
      </c>
      <c r="L23" s="32"/>
      <c r="M23" s="33">
        <f>10489263.68</f>
        <v>10489263.68</v>
      </c>
      <c r="N23" s="34" t="s">
        <v>65</v>
      </c>
      <c r="O23" s="35" t="s">
        <v>66</v>
      </c>
      <c r="P23" s="31">
        <f>-636263.68</f>
        <v>-636263.68</v>
      </c>
      <c r="Q23" s="31"/>
      <c r="R23" s="36">
        <f>1116536.32</f>
        <v>1116536.32</v>
      </c>
      <c r="S23" s="36"/>
    </row>
    <row r="24" spans="1:19" s="1" customFormat="1" ht="13.5" customHeight="1">
      <c r="A24" s="29" t="s">
        <v>67</v>
      </c>
      <c r="B24" s="29"/>
      <c r="C24" s="29"/>
      <c r="D24" s="29"/>
      <c r="E24" s="29"/>
      <c r="F24" s="30" t="s">
        <v>42</v>
      </c>
      <c r="G24" s="30"/>
      <c r="H24" s="30"/>
      <c r="I24" s="31">
        <f>9853000</f>
        <v>9853000</v>
      </c>
      <c r="J24" s="31"/>
      <c r="K24" s="32">
        <f>11605800</f>
        <v>11605800</v>
      </c>
      <c r="L24" s="32"/>
      <c r="M24" s="33">
        <f>10489263.68</f>
        <v>10489263.68</v>
      </c>
      <c r="N24" s="34" t="s">
        <v>65</v>
      </c>
      <c r="O24" s="35" t="s">
        <v>66</v>
      </c>
      <c r="P24" s="31">
        <f>-636263.68</f>
        <v>-636263.68</v>
      </c>
      <c r="Q24" s="31"/>
      <c r="R24" s="36">
        <f>1116536.32</f>
        <v>1116536.32</v>
      </c>
      <c r="S24" s="36"/>
    </row>
    <row r="25" spans="1:19" s="1" customFormat="1" ht="13.5" customHeight="1">
      <c r="A25" s="29" t="s">
        <v>68</v>
      </c>
      <c r="B25" s="29"/>
      <c r="C25" s="29"/>
      <c r="D25" s="29"/>
      <c r="E25" s="29"/>
      <c r="F25" s="30" t="s">
        <v>69</v>
      </c>
      <c r="G25" s="30"/>
      <c r="H25" s="30"/>
      <c r="I25" s="31">
        <f>8029000</f>
        <v>8029000</v>
      </c>
      <c r="J25" s="31"/>
      <c r="K25" s="32">
        <f>8308100</f>
        <v>8308100</v>
      </c>
      <c r="L25" s="32"/>
      <c r="M25" s="33">
        <f>9490528.48</f>
        <v>9490528.48</v>
      </c>
      <c r="N25" s="34" t="s">
        <v>70</v>
      </c>
      <c r="O25" s="35" t="s">
        <v>71</v>
      </c>
      <c r="P25" s="31">
        <f>-1461528.48</f>
        <v>-1461528.48</v>
      </c>
      <c r="Q25" s="31"/>
      <c r="R25" s="36">
        <f>-1182428.48</f>
        <v>-1182428.48</v>
      </c>
      <c r="S25" s="36"/>
    </row>
    <row r="26" spans="1:19" s="1" customFormat="1" ht="13.5" customHeight="1">
      <c r="A26" s="29" t="s">
        <v>72</v>
      </c>
      <c r="B26" s="29"/>
      <c r="C26" s="29"/>
      <c r="D26" s="29"/>
      <c r="E26" s="29"/>
      <c r="F26" s="30" t="s">
        <v>73</v>
      </c>
      <c r="G26" s="30"/>
      <c r="H26" s="30"/>
      <c r="I26" s="31">
        <f>8029000</f>
        <v>8029000</v>
      </c>
      <c r="J26" s="31"/>
      <c r="K26" s="32">
        <f>8308100</f>
        <v>8308100</v>
      </c>
      <c r="L26" s="32"/>
      <c r="M26" s="33">
        <f>9490528.48</f>
        <v>9490528.48</v>
      </c>
      <c r="N26" s="34" t="s">
        <v>70</v>
      </c>
      <c r="O26" s="35" t="s">
        <v>71</v>
      </c>
      <c r="P26" s="31">
        <f>-1461528.48</f>
        <v>-1461528.48</v>
      </c>
      <c r="Q26" s="31"/>
      <c r="R26" s="36">
        <f>-1182428.48</f>
        <v>-1182428.48</v>
      </c>
      <c r="S26" s="36"/>
    </row>
    <row r="27" spans="1:19" s="1" customFormat="1" ht="66" customHeight="1">
      <c r="A27" s="29" t="s">
        <v>74</v>
      </c>
      <c r="B27" s="29"/>
      <c r="C27" s="29"/>
      <c r="D27" s="29"/>
      <c r="E27" s="29"/>
      <c r="F27" s="30" t="s">
        <v>75</v>
      </c>
      <c r="G27" s="30"/>
      <c r="H27" s="30"/>
      <c r="I27" s="31">
        <f>8029000</f>
        <v>8029000</v>
      </c>
      <c r="J27" s="31"/>
      <c r="K27" s="32">
        <f>8308100</f>
        <v>8308100</v>
      </c>
      <c r="L27" s="32"/>
      <c r="M27" s="34" t="s">
        <v>1</v>
      </c>
      <c r="N27" s="34" t="s">
        <v>76</v>
      </c>
      <c r="O27" s="35" t="s">
        <v>76</v>
      </c>
      <c r="P27" s="31">
        <f>8029000</f>
        <v>8029000</v>
      </c>
      <c r="Q27" s="31"/>
      <c r="R27" s="36">
        <f>8308100</f>
        <v>8308100</v>
      </c>
      <c r="S27" s="36"/>
    </row>
    <row r="28" spans="1:19" s="1" customFormat="1" ht="66" customHeight="1">
      <c r="A28" s="29" t="s">
        <v>77</v>
      </c>
      <c r="B28" s="29"/>
      <c r="C28" s="29"/>
      <c r="D28" s="29"/>
      <c r="E28" s="29"/>
      <c r="F28" s="30" t="s">
        <v>75</v>
      </c>
      <c r="G28" s="30"/>
      <c r="H28" s="30"/>
      <c r="I28" s="37" t="s">
        <v>1</v>
      </c>
      <c r="J28" s="37"/>
      <c r="K28" s="38" t="s">
        <v>1</v>
      </c>
      <c r="L28" s="38"/>
      <c r="M28" s="33">
        <f>9465849.86</f>
        <v>9465849.86</v>
      </c>
      <c r="N28" s="34" t="s">
        <v>76</v>
      </c>
      <c r="O28" s="35" t="s">
        <v>76</v>
      </c>
      <c r="P28" s="31">
        <f>-9465849.86</f>
        <v>-9465849.86</v>
      </c>
      <c r="Q28" s="31"/>
      <c r="R28" s="36">
        <f>-9465849.86</f>
        <v>-9465849.86</v>
      </c>
      <c r="S28" s="36"/>
    </row>
    <row r="29" spans="1:19" s="1" customFormat="1" ht="66" customHeight="1">
      <c r="A29" s="29" t="s">
        <v>78</v>
      </c>
      <c r="B29" s="29"/>
      <c r="C29" s="29"/>
      <c r="D29" s="29"/>
      <c r="E29" s="29"/>
      <c r="F29" s="30" t="s">
        <v>75</v>
      </c>
      <c r="G29" s="30"/>
      <c r="H29" s="30"/>
      <c r="I29" s="37" t="s">
        <v>1</v>
      </c>
      <c r="J29" s="37"/>
      <c r="K29" s="38" t="s">
        <v>1</v>
      </c>
      <c r="L29" s="38"/>
      <c r="M29" s="33">
        <f>10578.86</f>
        <v>10578.86</v>
      </c>
      <c r="N29" s="34" t="s">
        <v>76</v>
      </c>
      <c r="O29" s="35" t="s">
        <v>76</v>
      </c>
      <c r="P29" s="31">
        <f>-10578.86</f>
        <v>-10578.86</v>
      </c>
      <c r="Q29" s="31"/>
      <c r="R29" s="36">
        <f>-10578.86</f>
        <v>-10578.86</v>
      </c>
      <c r="S29" s="36"/>
    </row>
    <row r="30" spans="1:19" s="1" customFormat="1" ht="66" customHeight="1">
      <c r="A30" s="29" t="s">
        <v>79</v>
      </c>
      <c r="B30" s="29"/>
      <c r="C30" s="29"/>
      <c r="D30" s="29"/>
      <c r="E30" s="29"/>
      <c r="F30" s="30" t="s">
        <v>75</v>
      </c>
      <c r="G30" s="30"/>
      <c r="H30" s="30"/>
      <c r="I30" s="37" t="s">
        <v>1</v>
      </c>
      <c r="J30" s="37"/>
      <c r="K30" s="38" t="s">
        <v>1</v>
      </c>
      <c r="L30" s="38"/>
      <c r="M30" s="33">
        <f>2866.94</f>
        <v>2866.94</v>
      </c>
      <c r="N30" s="34" t="s">
        <v>76</v>
      </c>
      <c r="O30" s="35" t="s">
        <v>76</v>
      </c>
      <c r="P30" s="31">
        <f>-2866.94</f>
        <v>-2866.94</v>
      </c>
      <c r="Q30" s="31"/>
      <c r="R30" s="36">
        <f>-2866.94</f>
        <v>-2866.94</v>
      </c>
      <c r="S30" s="36"/>
    </row>
    <row r="31" spans="1:19" s="1" customFormat="1" ht="45" customHeight="1">
      <c r="A31" s="29" t="s">
        <v>80</v>
      </c>
      <c r="B31" s="29"/>
      <c r="C31" s="29"/>
      <c r="D31" s="29"/>
      <c r="E31" s="29"/>
      <c r="F31" s="30" t="s">
        <v>81</v>
      </c>
      <c r="G31" s="30"/>
      <c r="H31" s="30"/>
      <c r="I31" s="37" t="s">
        <v>1</v>
      </c>
      <c r="J31" s="37"/>
      <c r="K31" s="38" t="s">
        <v>1</v>
      </c>
      <c r="L31" s="38"/>
      <c r="M31" s="33">
        <f>10469.4</f>
        <v>10469.4</v>
      </c>
      <c r="N31" s="34" t="s">
        <v>76</v>
      </c>
      <c r="O31" s="35" t="s">
        <v>76</v>
      </c>
      <c r="P31" s="31">
        <f>-10469.4</f>
        <v>-10469.4</v>
      </c>
      <c r="Q31" s="31"/>
      <c r="R31" s="36">
        <f>-10469.4</f>
        <v>-10469.4</v>
      </c>
      <c r="S31" s="36"/>
    </row>
    <row r="32" spans="1:19" s="1" customFormat="1" ht="45" customHeight="1">
      <c r="A32" s="29" t="s">
        <v>82</v>
      </c>
      <c r="B32" s="29"/>
      <c r="C32" s="29"/>
      <c r="D32" s="29"/>
      <c r="E32" s="29"/>
      <c r="F32" s="30" t="s">
        <v>81</v>
      </c>
      <c r="G32" s="30"/>
      <c r="H32" s="30"/>
      <c r="I32" s="37" t="s">
        <v>1</v>
      </c>
      <c r="J32" s="37"/>
      <c r="K32" s="38" t="s">
        <v>1</v>
      </c>
      <c r="L32" s="38"/>
      <c r="M32" s="33">
        <f>62.42</f>
        <v>62.42</v>
      </c>
      <c r="N32" s="34" t="s">
        <v>76</v>
      </c>
      <c r="O32" s="35" t="s">
        <v>76</v>
      </c>
      <c r="P32" s="31">
        <f>-62.42</f>
        <v>-62.42</v>
      </c>
      <c r="Q32" s="31"/>
      <c r="R32" s="36">
        <f>-62.42</f>
        <v>-62.42</v>
      </c>
      <c r="S32" s="36"/>
    </row>
    <row r="33" spans="1:19" s="1" customFormat="1" ht="45" customHeight="1">
      <c r="A33" s="29" t="s">
        <v>83</v>
      </c>
      <c r="B33" s="29"/>
      <c r="C33" s="29"/>
      <c r="D33" s="29"/>
      <c r="E33" s="29"/>
      <c r="F33" s="30" t="s">
        <v>81</v>
      </c>
      <c r="G33" s="30"/>
      <c r="H33" s="30"/>
      <c r="I33" s="37" t="s">
        <v>1</v>
      </c>
      <c r="J33" s="37"/>
      <c r="K33" s="38" t="s">
        <v>1</v>
      </c>
      <c r="L33" s="38"/>
      <c r="M33" s="33">
        <f>701</f>
        <v>701</v>
      </c>
      <c r="N33" s="34" t="s">
        <v>76</v>
      </c>
      <c r="O33" s="35" t="s">
        <v>76</v>
      </c>
      <c r="P33" s="31">
        <f>-701</f>
        <v>-701</v>
      </c>
      <c r="Q33" s="31"/>
      <c r="R33" s="36">
        <f>-701</f>
        <v>-701</v>
      </c>
      <c r="S33" s="36"/>
    </row>
    <row r="34" spans="1:19" s="1" customFormat="1" ht="13.5" customHeight="1">
      <c r="A34" s="29" t="s">
        <v>84</v>
      </c>
      <c r="B34" s="29"/>
      <c r="C34" s="29"/>
      <c r="D34" s="29"/>
      <c r="E34" s="29"/>
      <c r="F34" s="30" t="s">
        <v>85</v>
      </c>
      <c r="G34" s="30"/>
      <c r="H34" s="30"/>
      <c r="I34" s="31">
        <f>35400</f>
        <v>35400</v>
      </c>
      <c r="J34" s="31"/>
      <c r="K34" s="32">
        <f>35400</f>
        <v>35400</v>
      </c>
      <c r="L34" s="32"/>
      <c r="M34" s="33">
        <f>84345.2</f>
        <v>84345.2</v>
      </c>
      <c r="N34" s="34" t="s">
        <v>86</v>
      </c>
      <c r="O34" s="35" t="s">
        <v>86</v>
      </c>
      <c r="P34" s="31">
        <f>-48945.2</f>
        <v>-48945.2</v>
      </c>
      <c r="Q34" s="31"/>
      <c r="R34" s="36">
        <f>-48945.2</f>
        <v>-48945.2</v>
      </c>
      <c r="S34" s="36"/>
    </row>
    <row r="35" spans="1:19" s="1" customFormat="1" ht="13.5" customHeight="1">
      <c r="A35" s="29" t="s">
        <v>87</v>
      </c>
      <c r="B35" s="29"/>
      <c r="C35" s="29"/>
      <c r="D35" s="29"/>
      <c r="E35" s="29"/>
      <c r="F35" s="30" t="s">
        <v>88</v>
      </c>
      <c r="G35" s="30"/>
      <c r="H35" s="30"/>
      <c r="I35" s="31">
        <f>35400</f>
        <v>35400</v>
      </c>
      <c r="J35" s="31"/>
      <c r="K35" s="32">
        <f>35400</f>
        <v>35400</v>
      </c>
      <c r="L35" s="32"/>
      <c r="M35" s="33">
        <f>84345.2</f>
        <v>84345.2</v>
      </c>
      <c r="N35" s="34" t="s">
        <v>86</v>
      </c>
      <c r="O35" s="35" t="s">
        <v>86</v>
      </c>
      <c r="P35" s="31">
        <f>-48945.2</f>
        <v>-48945.2</v>
      </c>
      <c r="Q35" s="31"/>
      <c r="R35" s="36">
        <f>-48945.2</f>
        <v>-48945.2</v>
      </c>
      <c r="S35" s="36"/>
    </row>
    <row r="36" spans="1:19" s="1" customFormat="1" ht="13.5" customHeight="1">
      <c r="A36" s="29" t="s">
        <v>89</v>
      </c>
      <c r="B36" s="29"/>
      <c r="C36" s="29"/>
      <c r="D36" s="29"/>
      <c r="E36" s="29"/>
      <c r="F36" s="30" t="s">
        <v>88</v>
      </c>
      <c r="G36" s="30"/>
      <c r="H36" s="30"/>
      <c r="I36" s="31">
        <f>35400</f>
        <v>35400</v>
      </c>
      <c r="J36" s="31"/>
      <c r="K36" s="32">
        <f>35400</f>
        <v>35400</v>
      </c>
      <c r="L36" s="32"/>
      <c r="M36" s="34" t="s">
        <v>1</v>
      </c>
      <c r="N36" s="34" t="s">
        <v>76</v>
      </c>
      <c r="O36" s="35" t="s">
        <v>76</v>
      </c>
      <c r="P36" s="31">
        <f>35400</f>
        <v>35400</v>
      </c>
      <c r="Q36" s="31"/>
      <c r="R36" s="36">
        <f>35400</f>
        <v>35400</v>
      </c>
      <c r="S36" s="36"/>
    </row>
    <row r="37" spans="1:19" s="1" customFormat="1" ht="13.5" customHeight="1">
      <c r="A37" s="29" t="s">
        <v>90</v>
      </c>
      <c r="B37" s="29"/>
      <c r="C37" s="29"/>
      <c r="D37" s="29"/>
      <c r="E37" s="29"/>
      <c r="F37" s="30" t="s">
        <v>88</v>
      </c>
      <c r="G37" s="30"/>
      <c r="H37" s="30"/>
      <c r="I37" s="37" t="s">
        <v>1</v>
      </c>
      <c r="J37" s="37"/>
      <c r="K37" s="38" t="s">
        <v>1</v>
      </c>
      <c r="L37" s="38"/>
      <c r="M37" s="33">
        <f>61672</f>
        <v>61672</v>
      </c>
      <c r="N37" s="34" t="s">
        <v>76</v>
      </c>
      <c r="O37" s="35" t="s">
        <v>76</v>
      </c>
      <c r="P37" s="31">
        <f>-61672</f>
        <v>-61672</v>
      </c>
      <c r="Q37" s="31"/>
      <c r="R37" s="36">
        <f>-61672</f>
        <v>-61672</v>
      </c>
      <c r="S37" s="36"/>
    </row>
    <row r="38" spans="1:19" s="1" customFormat="1" ht="13.5" customHeight="1">
      <c r="A38" s="29" t="s">
        <v>91</v>
      </c>
      <c r="B38" s="29"/>
      <c r="C38" s="29"/>
      <c r="D38" s="29"/>
      <c r="E38" s="29"/>
      <c r="F38" s="30" t="s">
        <v>88</v>
      </c>
      <c r="G38" s="30"/>
      <c r="H38" s="30"/>
      <c r="I38" s="37" t="s">
        <v>1</v>
      </c>
      <c r="J38" s="37"/>
      <c r="K38" s="38" t="s">
        <v>1</v>
      </c>
      <c r="L38" s="38"/>
      <c r="M38" s="33">
        <f>3702.13</f>
        <v>3702.13</v>
      </c>
      <c r="N38" s="34" t="s">
        <v>76</v>
      </c>
      <c r="O38" s="35" t="s">
        <v>76</v>
      </c>
      <c r="P38" s="31">
        <f>-3702.13</f>
        <v>-3702.13</v>
      </c>
      <c r="Q38" s="31"/>
      <c r="R38" s="36">
        <f>-3702.13</f>
        <v>-3702.13</v>
      </c>
      <c r="S38" s="36"/>
    </row>
    <row r="39" spans="1:19" s="1" customFormat="1" ht="13.5" customHeight="1">
      <c r="A39" s="29" t="s">
        <v>92</v>
      </c>
      <c r="B39" s="29"/>
      <c r="C39" s="29"/>
      <c r="D39" s="29"/>
      <c r="E39" s="29"/>
      <c r="F39" s="30" t="s">
        <v>88</v>
      </c>
      <c r="G39" s="30"/>
      <c r="H39" s="30"/>
      <c r="I39" s="37" t="s">
        <v>1</v>
      </c>
      <c r="J39" s="37"/>
      <c r="K39" s="38" t="s">
        <v>1</v>
      </c>
      <c r="L39" s="38"/>
      <c r="M39" s="33">
        <f>18971.07</f>
        <v>18971.07</v>
      </c>
      <c r="N39" s="34" t="s">
        <v>76</v>
      </c>
      <c r="O39" s="35" t="s">
        <v>76</v>
      </c>
      <c r="P39" s="31">
        <f>-18971.07</f>
        <v>-18971.07</v>
      </c>
      <c r="Q39" s="31"/>
      <c r="R39" s="36">
        <f>-18971.07</f>
        <v>-18971.07</v>
      </c>
      <c r="S39" s="36"/>
    </row>
    <row r="40" spans="1:19" s="1" customFormat="1" ht="13.5" customHeight="1">
      <c r="A40" s="29" t="s">
        <v>93</v>
      </c>
      <c r="B40" s="29"/>
      <c r="C40" s="29"/>
      <c r="D40" s="29"/>
      <c r="E40" s="29"/>
      <c r="F40" s="30" t="s">
        <v>94</v>
      </c>
      <c r="G40" s="30"/>
      <c r="H40" s="30"/>
      <c r="I40" s="31">
        <f>1788600</f>
        <v>1788600</v>
      </c>
      <c r="J40" s="31"/>
      <c r="K40" s="32">
        <f>3262300</f>
        <v>3262300</v>
      </c>
      <c r="L40" s="32"/>
      <c r="M40" s="33">
        <f>914390</f>
        <v>914390</v>
      </c>
      <c r="N40" s="34" t="s">
        <v>95</v>
      </c>
      <c r="O40" s="35" t="s">
        <v>96</v>
      </c>
      <c r="P40" s="31">
        <f>874210</f>
        <v>874210</v>
      </c>
      <c r="Q40" s="31"/>
      <c r="R40" s="36">
        <f>2347910</f>
        <v>2347910</v>
      </c>
      <c r="S40" s="36"/>
    </row>
    <row r="41" spans="1:19" s="1" customFormat="1" ht="13.5" customHeight="1">
      <c r="A41" s="29" t="s">
        <v>97</v>
      </c>
      <c r="B41" s="29"/>
      <c r="C41" s="29"/>
      <c r="D41" s="29"/>
      <c r="E41" s="29"/>
      <c r="F41" s="30" t="s">
        <v>98</v>
      </c>
      <c r="G41" s="30"/>
      <c r="H41" s="30"/>
      <c r="I41" s="31">
        <f>182000</f>
        <v>182000</v>
      </c>
      <c r="J41" s="31"/>
      <c r="K41" s="32">
        <f>302800</f>
        <v>302800</v>
      </c>
      <c r="L41" s="32"/>
      <c r="M41" s="33">
        <f>92866.55</f>
        <v>92866.55</v>
      </c>
      <c r="N41" s="34" t="s">
        <v>99</v>
      </c>
      <c r="O41" s="35" t="s">
        <v>100</v>
      </c>
      <c r="P41" s="31">
        <f>89133.45</f>
        <v>89133.45</v>
      </c>
      <c r="Q41" s="31"/>
      <c r="R41" s="36">
        <f>209933.45</f>
        <v>209933.45</v>
      </c>
      <c r="S41" s="36"/>
    </row>
    <row r="42" spans="1:19" s="1" customFormat="1" ht="45" customHeight="1">
      <c r="A42" s="29" t="s">
        <v>101</v>
      </c>
      <c r="B42" s="29"/>
      <c r="C42" s="29"/>
      <c r="D42" s="29"/>
      <c r="E42" s="29"/>
      <c r="F42" s="30" t="s">
        <v>102</v>
      </c>
      <c r="G42" s="30"/>
      <c r="H42" s="30"/>
      <c r="I42" s="31">
        <f>182000</f>
        <v>182000</v>
      </c>
      <c r="J42" s="31"/>
      <c r="K42" s="32">
        <f>302800</f>
        <v>302800</v>
      </c>
      <c r="L42" s="32"/>
      <c r="M42" s="34" t="s">
        <v>1</v>
      </c>
      <c r="N42" s="34" t="s">
        <v>76</v>
      </c>
      <c r="O42" s="35" t="s">
        <v>76</v>
      </c>
      <c r="P42" s="31">
        <f>182000</f>
        <v>182000</v>
      </c>
      <c r="Q42" s="31"/>
      <c r="R42" s="36">
        <f>302800</f>
        <v>302800</v>
      </c>
      <c r="S42" s="36"/>
    </row>
    <row r="43" spans="1:19" s="1" customFormat="1" ht="45" customHeight="1">
      <c r="A43" s="29" t="s">
        <v>103</v>
      </c>
      <c r="B43" s="29"/>
      <c r="C43" s="29"/>
      <c r="D43" s="29"/>
      <c r="E43" s="29"/>
      <c r="F43" s="30" t="s">
        <v>104</v>
      </c>
      <c r="G43" s="30"/>
      <c r="H43" s="30"/>
      <c r="I43" s="37" t="s">
        <v>1</v>
      </c>
      <c r="J43" s="37"/>
      <c r="K43" s="38" t="s">
        <v>1</v>
      </c>
      <c r="L43" s="38"/>
      <c r="M43" s="33">
        <f>83068.85</f>
        <v>83068.85</v>
      </c>
      <c r="N43" s="34" t="s">
        <v>76</v>
      </c>
      <c r="O43" s="35" t="s">
        <v>76</v>
      </c>
      <c r="P43" s="31">
        <f>-83068.85</f>
        <v>-83068.85</v>
      </c>
      <c r="Q43" s="31"/>
      <c r="R43" s="36">
        <f>-83068.85</f>
        <v>-83068.85</v>
      </c>
      <c r="S43" s="36"/>
    </row>
    <row r="44" spans="1:19" s="1" customFormat="1" ht="45" customHeight="1">
      <c r="A44" s="29" t="s">
        <v>105</v>
      </c>
      <c r="B44" s="29"/>
      <c r="C44" s="29"/>
      <c r="D44" s="29"/>
      <c r="E44" s="29"/>
      <c r="F44" s="30" t="s">
        <v>104</v>
      </c>
      <c r="G44" s="30"/>
      <c r="H44" s="30"/>
      <c r="I44" s="37" t="s">
        <v>1</v>
      </c>
      <c r="J44" s="37"/>
      <c r="K44" s="38" t="s">
        <v>1</v>
      </c>
      <c r="L44" s="38"/>
      <c r="M44" s="33">
        <f>9797.7</f>
        <v>9797.7</v>
      </c>
      <c r="N44" s="34" t="s">
        <v>76</v>
      </c>
      <c r="O44" s="35" t="s">
        <v>76</v>
      </c>
      <c r="P44" s="31">
        <f>-9797.7</f>
        <v>-9797.7</v>
      </c>
      <c r="Q44" s="31"/>
      <c r="R44" s="36">
        <f>-9797.7</f>
        <v>-9797.7</v>
      </c>
      <c r="S44" s="36"/>
    </row>
    <row r="45" spans="1:19" s="1" customFormat="1" ht="13.5" customHeight="1">
      <c r="A45" s="29" t="s">
        <v>106</v>
      </c>
      <c r="B45" s="29"/>
      <c r="C45" s="29"/>
      <c r="D45" s="29"/>
      <c r="E45" s="29"/>
      <c r="F45" s="30" t="s">
        <v>107</v>
      </c>
      <c r="G45" s="30"/>
      <c r="H45" s="30"/>
      <c r="I45" s="31">
        <f>1606600</f>
        <v>1606600</v>
      </c>
      <c r="J45" s="31"/>
      <c r="K45" s="32">
        <f>2959500</f>
        <v>2959500</v>
      </c>
      <c r="L45" s="32"/>
      <c r="M45" s="33">
        <f>821523.45</f>
        <v>821523.45</v>
      </c>
      <c r="N45" s="34" t="s">
        <v>108</v>
      </c>
      <c r="O45" s="35" t="s">
        <v>109</v>
      </c>
      <c r="P45" s="31">
        <f>785076.55</f>
        <v>785076.55</v>
      </c>
      <c r="Q45" s="31"/>
      <c r="R45" s="36">
        <f>2137976.55</f>
        <v>2137976.55</v>
      </c>
      <c r="S45" s="36"/>
    </row>
    <row r="46" spans="1:19" s="1" customFormat="1" ht="13.5" customHeight="1">
      <c r="A46" s="29" t="s">
        <v>110</v>
      </c>
      <c r="B46" s="29"/>
      <c r="C46" s="29"/>
      <c r="D46" s="29"/>
      <c r="E46" s="29"/>
      <c r="F46" s="30" t="s">
        <v>111</v>
      </c>
      <c r="G46" s="30"/>
      <c r="H46" s="30"/>
      <c r="I46" s="31">
        <f>1491400</f>
        <v>1491400</v>
      </c>
      <c r="J46" s="31"/>
      <c r="K46" s="32">
        <f>2789100</f>
        <v>2789100</v>
      </c>
      <c r="L46" s="32"/>
      <c r="M46" s="33">
        <f>710482.65</f>
        <v>710482.65</v>
      </c>
      <c r="N46" s="34" t="s">
        <v>112</v>
      </c>
      <c r="O46" s="35" t="s">
        <v>113</v>
      </c>
      <c r="P46" s="31">
        <f>780917.35</f>
        <v>780917.35</v>
      </c>
      <c r="Q46" s="31"/>
      <c r="R46" s="36">
        <f>2078617.35</f>
        <v>2078617.35</v>
      </c>
      <c r="S46" s="36"/>
    </row>
    <row r="47" spans="1:19" s="1" customFormat="1" ht="33.75" customHeight="1">
      <c r="A47" s="29" t="s">
        <v>114</v>
      </c>
      <c r="B47" s="29"/>
      <c r="C47" s="29"/>
      <c r="D47" s="29"/>
      <c r="E47" s="29"/>
      <c r="F47" s="30" t="s">
        <v>115</v>
      </c>
      <c r="G47" s="30"/>
      <c r="H47" s="30"/>
      <c r="I47" s="31">
        <f>1491400</f>
        <v>1491400</v>
      </c>
      <c r="J47" s="31"/>
      <c r="K47" s="32">
        <f>2789100</f>
        <v>2789100</v>
      </c>
      <c r="L47" s="32"/>
      <c r="M47" s="34" t="s">
        <v>1</v>
      </c>
      <c r="N47" s="34" t="s">
        <v>76</v>
      </c>
      <c r="O47" s="35" t="s">
        <v>76</v>
      </c>
      <c r="P47" s="31">
        <f>1491400</f>
        <v>1491400</v>
      </c>
      <c r="Q47" s="31"/>
      <c r="R47" s="36">
        <f>2789100</f>
        <v>2789100</v>
      </c>
      <c r="S47" s="36"/>
    </row>
    <row r="48" spans="1:19" s="1" customFormat="1" ht="33.75" customHeight="1">
      <c r="A48" s="29" t="s">
        <v>116</v>
      </c>
      <c r="B48" s="29"/>
      <c r="C48" s="29"/>
      <c r="D48" s="29"/>
      <c r="E48" s="29"/>
      <c r="F48" s="30" t="s">
        <v>117</v>
      </c>
      <c r="G48" s="30"/>
      <c r="H48" s="30"/>
      <c r="I48" s="37" t="s">
        <v>1</v>
      </c>
      <c r="J48" s="37"/>
      <c r="K48" s="38" t="s">
        <v>1</v>
      </c>
      <c r="L48" s="38"/>
      <c r="M48" s="33">
        <f>706429.34</f>
        <v>706429.34</v>
      </c>
      <c r="N48" s="34" t="s">
        <v>76</v>
      </c>
      <c r="O48" s="35" t="s">
        <v>76</v>
      </c>
      <c r="P48" s="31">
        <f>-706429.34</f>
        <v>-706429.34</v>
      </c>
      <c r="Q48" s="31"/>
      <c r="R48" s="36">
        <f>-706429.34</f>
        <v>-706429.34</v>
      </c>
      <c r="S48" s="36"/>
    </row>
    <row r="49" spans="1:19" s="1" customFormat="1" ht="33.75" customHeight="1">
      <c r="A49" s="29" t="s">
        <v>118</v>
      </c>
      <c r="B49" s="29"/>
      <c r="C49" s="29"/>
      <c r="D49" s="29"/>
      <c r="E49" s="29"/>
      <c r="F49" s="30" t="s">
        <v>117</v>
      </c>
      <c r="G49" s="30"/>
      <c r="H49" s="30"/>
      <c r="I49" s="37" t="s">
        <v>1</v>
      </c>
      <c r="J49" s="37"/>
      <c r="K49" s="38" t="s">
        <v>1</v>
      </c>
      <c r="L49" s="38"/>
      <c r="M49" s="33">
        <f>3803.31</f>
        <v>3803.31</v>
      </c>
      <c r="N49" s="34" t="s">
        <v>76</v>
      </c>
      <c r="O49" s="35" t="s">
        <v>76</v>
      </c>
      <c r="P49" s="31">
        <f>-3803.31</f>
        <v>-3803.31</v>
      </c>
      <c r="Q49" s="31"/>
      <c r="R49" s="36">
        <f>-3803.31</f>
        <v>-3803.31</v>
      </c>
      <c r="S49" s="36"/>
    </row>
    <row r="50" spans="1:19" s="1" customFormat="1" ht="33.75" customHeight="1">
      <c r="A50" s="29" t="s">
        <v>119</v>
      </c>
      <c r="B50" s="29"/>
      <c r="C50" s="29"/>
      <c r="D50" s="29"/>
      <c r="E50" s="29"/>
      <c r="F50" s="30" t="s">
        <v>117</v>
      </c>
      <c r="G50" s="30"/>
      <c r="H50" s="30"/>
      <c r="I50" s="37" t="s">
        <v>1</v>
      </c>
      <c r="J50" s="37"/>
      <c r="K50" s="38" t="s">
        <v>1</v>
      </c>
      <c r="L50" s="38"/>
      <c r="M50" s="33">
        <f>250</f>
        <v>250</v>
      </c>
      <c r="N50" s="34" t="s">
        <v>76</v>
      </c>
      <c r="O50" s="35" t="s">
        <v>76</v>
      </c>
      <c r="P50" s="31">
        <f>-250</f>
        <v>-250</v>
      </c>
      <c r="Q50" s="31"/>
      <c r="R50" s="36">
        <f>-250</f>
        <v>-250</v>
      </c>
      <c r="S50" s="36"/>
    </row>
    <row r="51" spans="1:19" s="1" customFormat="1" ht="13.5" customHeight="1">
      <c r="A51" s="29" t="s">
        <v>120</v>
      </c>
      <c r="B51" s="29"/>
      <c r="C51" s="29"/>
      <c r="D51" s="29"/>
      <c r="E51" s="29"/>
      <c r="F51" s="30" t="s">
        <v>121</v>
      </c>
      <c r="G51" s="30"/>
      <c r="H51" s="30"/>
      <c r="I51" s="31">
        <f>115200</f>
        <v>115200</v>
      </c>
      <c r="J51" s="31"/>
      <c r="K51" s="32">
        <f>170400</f>
        <v>170400</v>
      </c>
      <c r="L51" s="32"/>
      <c r="M51" s="33">
        <f>111040.8</f>
        <v>111040.8</v>
      </c>
      <c r="N51" s="34" t="s">
        <v>122</v>
      </c>
      <c r="O51" s="35" t="s">
        <v>123</v>
      </c>
      <c r="P51" s="31">
        <f>4159.2</f>
        <v>4159.2</v>
      </c>
      <c r="Q51" s="31"/>
      <c r="R51" s="36">
        <f>59359.2</f>
        <v>59359.2</v>
      </c>
      <c r="S51" s="36"/>
    </row>
    <row r="52" spans="1:19" s="1" customFormat="1" ht="33.75" customHeight="1">
      <c r="A52" s="29" t="s">
        <v>124</v>
      </c>
      <c r="B52" s="29"/>
      <c r="C52" s="29"/>
      <c r="D52" s="29"/>
      <c r="E52" s="29"/>
      <c r="F52" s="30" t="s">
        <v>125</v>
      </c>
      <c r="G52" s="30"/>
      <c r="H52" s="30"/>
      <c r="I52" s="31">
        <f>115200</f>
        <v>115200</v>
      </c>
      <c r="J52" s="31"/>
      <c r="K52" s="32">
        <f>170400</f>
        <v>170400</v>
      </c>
      <c r="L52" s="32"/>
      <c r="M52" s="34" t="s">
        <v>1</v>
      </c>
      <c r="N52" s="34" t="s">
        <v>76</v>
      </c>
      <c r="O52" s="35" t="s">
        <v>76</v>
      </c>
      <c r="P52" s="31">
        <f>115200</f>
        <v>115200</v>
      </c>
      <c r="Q52" s="31"/>
      <c r="R52" s="36">
        <f>170400</f>
        <v>170400</v>
      </c>
      <c r="S52" s="36"/>
    </row>
    <row r="53" spans="1:19" s="1" customFormat="1" ht="33.75" customHeight="1">
      <c r="A53" s="29" t="s">
        <v>126</v>
      </c>
      <c r="B53" s="29"/>
      <c r="C53" s="29"/>
      <c r="D53" s="29"/>
      <c r="E53" s="29"/>
      <c r="F53" s="30" t="s">
        <v>127</v>
      </c>
      <c r="G53" s="30"/>
      <c r="H53" s="30"/>
      <c r="I53" s="37" t="s">
        <v>1</v>
      </c>
      <c r="J53" s="37"/>
      <c r="K53" s="38" t="s">
        <v>1</v>
      </c>
      <c r="L53" s="38"/>
      <c r="M53" s="33">
        <f>110031.89</f>
        <v>110031.89</v>
      </c>
      <c r="N53" s="34" t="s">
        <v>76</v>
      </c>
      <c r="O53" s="35" t="s">
        <v>76</v>
      </c>
      <c r="P53" s="31">
        <f>-110031.89</f>
        <v>-110031.89</v>
      </c>
      <c r="Q53" s="31"/>
      <c r="R53" s="36">
        <f>-110031.89</f>
        <v>-110031.89</v>
      </c>
      <c r="S53" s="36"/>
    </row>
    <row r="54" spans="1:19" s="1" customFormat="1" ht="33.75" customHeight="1">
      <c r="A54" s="29" t="s">
        <v>128</v>
      </c>
      <c r="B54" s="29"/>
      <c r="C54" s="29"/>
      <c r="D54" s="29"/>
      <c r="E54" s="29"/>
      <c r="F54" s="30" t="s">
        <v>127</v>
      </c>
      <c r="G54" s="30"/>
      <c r="H54" s="30"/>
      <c r="I54" s="37" t="s">
        <v>1</v>
      </c>
      <c r="J54" s="37"/>
      <c r="K54" s="38" t="s">
        <v>1</v>
      </c>
      <c r="L54" s="38"/>
      <c r="M54" s="33">
        <f>1008.91</f>
        <v>1008.91</v>
      </c>
      <c r="N54" s="34" t="s">
        <v>76</v>
      </c>
      <c r="O54" s="35" t="s">
        <v>76</v>
      </c>
      <c r="P54" s="31">
        <f>-1008.91</f>
        <v>-1008.91</v>
      </c>
      <c r="Q54" s="31"/>
      <c r="R54" s="36">
        <f>-1008.91</f>
        <v>-1008.91</v>
      </c>
      <c r="S54" s="36"/>
    </row>
    <row r="55" spans="1:19" s="1" customFormat="1" ht="24" customHeight="1">
      <c r="A55" s="29" t="s">
        <v>129</v>
      </c>
      <c r="B55" s="29"/>
      <c r="C55" s="29"/>
      <c r="D55" s="29"/>
      <c r="E55" s="29"/>
      <c r="F55" s="30" t="s">
        <v>130</v>
      </c>
      <c r="G55" s="30"/>
      <c r="H55" s="30"/>
      <c r="I55" s="31">
        <f>58775533.95</f>
        <v>58775533.95</v>
      </c>
      <c r="J55" s="31"/>
      <c r="K55" s="32">
        <f>77658336.23</f>
        <v>77658336.23</v>
      </c>
      <c r="L55" s="32"/>
      <c r="M55" s="33">
        <f>42943450.85</f>
        <v>42943450.85</v>
      </c>
      <c r="N55" s="34" t="s">
        <v>131</v>
      </c>
      <c r="O55" s="35" t="s">
        <v>132</v>
      </c>
      <c r="P55" s="31">
        <f>15832083.1</f>
        <v>15832083.1</v>
      </c>
      <c r="Q55" s="31"/>
      <c r="R55" s="36">
        <f>34714885.38</f>
        <v>34714885.38</v>
      </c>
      <c r="S55" s="36"/>
    </row>
    <row r="56" spans="1:19" s="1" customFormat="1" ht="13.5" customHeight="1">
      <c r="A56" s="29" t="s">
        <v>133</v>
      </c>
      <c r="B56" s="29"/>
      <c r="C56" s="29"/>
      <c r="D56" s="29"/>
      <c r="E56" s="29"/>
      <c r="F56" s="30" t="s">
        <v>42</v>
      </c>
      <c r="G56" s="30"/>
      <c r="H56" s="30"/>
      <c r="I56" s="31">
        <f>5089700</f>
        <v>5089700</v>
      </c>
      <c r="J56" s="31"/>
      <c r="K56" s="32">
        <f>7789100</f>
        <v>7789100</v>
      </c>
      <c r="L56" s="32"/>
      <c r="M56" s="33">
        <f>3766561.11</f>
        <v>3766561.11</v>
      </c>
      <c r="N56" s="34" t="s">
        <v>134</v>
      </c>
      <c r="O56" s="35" t="s">
        <v>135</v>
      </c>
      <c r="P56" s="31">
        <f>1323138.89</f>
        <v>1323138.89</v>
      </c>
      <c r="Q56" s="31"/>
      <c r="R56" s="36">
        <f>4022538.89</f>
        <v>4022538.89</v>
      </c>
      <c r="S56" s="36"/>
    </row>
    <row r="57" spans="1:19" s="1" customFormat="1" ht="33.75" customHeight="1">
      <c r="A57" s="29" t="s">
        <v>136</v>
      </c>
      <c r="B57" s="29"/>
      <c r="C57" s="29"/>
      <c r="D57" s="29"/>
      <c r="E57" s="29"/>
      <c r="F57" s="30" t="s">
        <v>137</v>
      </c>
      <c r="G57" s="30"/>
      <c r="H57" s="30"/>
      <c r="I57" s="31">
        <f>4549500</f>
        <v>4549500</v>
      </c>
      <c r="J57" s="31"/>
      <c r="K57" s="32">
        <f>6867700</f>
        <v>6867700</v>
      </c>
      <c r="L57" s="32"/>
      <c r="M57" s="33">
        <f>3421743.81</f>
        <v>3421743.81</v>
      </c>
      <c r="N57" s="34" t="s">
        <v>138</v>
      </c>
      <c r="O57" s="35" t="s">
        <v>139</v>
      </c>
      <c r="P57" s="31">
        <f>1127756.19</f>
        <v>1127756.19</v>
      </c>
      <c r="Q57" s="31"/>
      <c r="R57" s="36">
        <f>3445956.19</f>
        <v>3445956.19</v>
      </c>
      <c r="S57" s="36"/>
    </row>
    <row r="58" spans="1:19" s="1" customFormat="1" ht="75.75" customHeight="1">
      <c r="A58" s="29" t="s">
        <v>140</v>
      </c>
      <c r="B58" s="29"/>
      <c r="C58" s="29"/>
      <c r="D58" s="29"/>
      <c r="E58" s="29"/>
      <c r="F58" s="30" t="s">
        <v>141</v>
      </c>
      <c r="G58" s="30"/>
      <c r="H58" s="30"/>
      <c r="I58" s="31">
        <f>2000</f>
        <v>2000</v>
      </c>
      <c r="J58" s="31"/>
      <c r="K58" s="32">
        <f>4500</f>
        <v>4500</v>
      </c>
      <c r="L58" s="32"/>
      <c r="M58" s="33">
        <f>1823.49</f>
        <v>1823.49</v>
      </c>
      <c r="N58" s="34" t="s">
        <v>142</v>
      </c>
      <c r="O58" s="35" t="s">
        <v>143</v>
      </c>
      <c r="P58" s="31">
        <f>176.51</f>
        <v>176.51</v>
      </c>
      <c r="Q58" s="31"/>
      <c r="R58" s="36">
        <f>2676.51</f>
        <v>2676.51</v>
      </c>
      <c r="S58" s="36"/>
    </row>
    <row r="59" spans="1:19" s="1" customFormat="1" ht="75.75" customHeight="1">
      <c r="A59" s="29" t="s">
        <v>144</v>
      </c>
      <c r="B59" s="29"/>
      <c r="C59" s="29"/>
      <c r="D59" s="29"/>
      <c r="E59" s="29"/>
      <c r="F59" s="30" t="s">
        <v>145</v>
      </c>
      <c r="G59" s="30"/>
      <c r="H59" s="30"/>
      <c r="I59" s="31">
        <f>2000</f>
        <v>2000</v>
      </c>
      <c r="J59" s="31"/>
      <c r="K59" s="32">
        <f>4500</f>
        <v>4500</v>
      </c>
      <c r="L59" s="32"/>
      <c r="M59" s="33">
        <f>1823.49</f>
        <v>1823.49</v>
      </c>
      <c r="N59" s="34" t="s">
        <v>142</v>
      </c>
      <c r="O59" s="35" t="s">
        <v>143</v>
      </c>
      <c r="P59" s="31">
        <f>176.51</f>
        <v>176.51</v>
      </c>
      <c r="Q59" s="31"/>
      <c r="R59" s="36">
        <f>2676.51</f>
        <v>2676.51</v>
      </c>
      <c r="S59" s="36"/>
    </row>
    <row r="60" spans="1:19" s="1" customFormat="1" ht="66" customHeight="1">
      <c r="A60" s="29" t="s">
        <v>146</v>
      </c>
      <c r="B60" s="29"/>
      <c r="C60" s="29"/>
      <c r="D60" s="29"/>
      <c r="E60" s="29"/>
      <c r="F60" s="30" t="s">
        <v>147</v>
      </c>
      <c r="G60" s="30"/>
      <c r="H60" s="30"/>
      <c r="I60" s="31">
        <f>2000</f>
        <v>2000</v>
      </c>
      <c r="J60" s="31"/>
      <c r="K60" s="32">
        <f>4500</f>
        <v>4500</v>
      </c>
      <c r="L60" s="32"/>
      <c r="M60" s="33">
        <f>1823.49</f>
        <v>1823.49</v>
      </c>
      <c r="N60" s="34" t="s">
        <v>142</v>
      </c>
      <c r="O60" s="35" t="s">
        <v>143</v>
      </c>
      <c r="P60" s="31">
        <f>176.51</f>
        <v>176.51</v>
      </c>
      <c r="Q60" s="31"/>
      <c r="R60" s="36">
        <f>2676.51</f>
        <v>2676.51</v>
      </c>
      <c r="S60" s="36"/>
    </row>
    <row r="61" spans="1:19" s="1" customFormat="1" ht="75.75" customHeight="1">
      <c r="A61" s="29" t="s">
        <v>148</v>
      </c>
      <c r="B61" s="29"/>
      <c r="C61" s="29"/>
      <c r="D61" s="29"/>
      <c r="E61" s="29"/>
      <c r="F61" s="30" t="s">
        <v>149</v>
      </c>
      <c r="G61" s="30"/>
      <c r="H61" s="30"/>
      <c r="I61" s="31">
        <f>4547500</f>
        <v>4547500</v>
      </c>
      <c r="J61" s="31"/>
      <c r="K61" s="32">
        <f>6863200</f>
        <v>6863200</v>
      </c>
      <c r="L61" s="32"/>
      <c r="M61" s="33">
        <f>3419920.32</f>
        <v>3419920.32</v>
      </c>
      <c r="N61" s="34" t="s">
        <v>150</v>
      </c>
      <c r="O61" s="35" t="s">
        <v>151</v>
      </c>
      <c r="P61" s="31">
        <f>1127579.68</f>
        <v>1127579.68</v>
      </c>
      <c r="Q61" s="31"/>
      <c r="R61" s="36">
        <f>3443279.68</f>
        <v>3443279.68</v>
      </c>
      <c r="S61" s="36"/>
    </row>
    <row r="62" spans="1:19" s="1" customFormat="1" ht="66" customHeight="1">
      <c r="A62" s="29" t="s">
        <v>152</v>
      </c>
      <c r="B62" s="29"/>
      <c r="C62" s="29"/>
      <c r="D62" s="29"/>
      <c r="E62" s="29"/>
      <c r="F62" s="30" t="s">
        <v>153</v>
      </c>
      <c r="G62" s="30"/>
      <c r="H62" s="30"/>
      <c r="I62" s="31">
        <f>4547500</f>
        <v>4547500</v>
      </c>
      <c r="J62" s="31"/>
      <c r="K62" s="32">
        <f>6863200</f>
        <v>6863200</v>
      </c>
      <c r="L62" s="32"/>
      <c r="M62" s="33">
        <f>3419920.32</f>
        <v>3419920.32</v>
      </c>
      <c r="N62" s="34" t="s">
        <v>150</v>
      </c>
      <c r="O62" s="35" t="s">
        <v>151</v>
      </c>
      <c r="P62" s="31">
        <f>1127579.68</f>
        <v>1127579.68</v>
      </c>
      <c r="Q62" s="31"/>
      <c r="R62" s="36">
        <f>3443279.68</f>
        <v>3443279.68</v>
      </c>
      <c r="S62" s="36"/>
    </row>
    <row r="63" spans="1:19" s="1" customFormat="1" ht="66" customHeight="1">
      <c r="A63" s="29" t="s">
        <v>154</v>
      </c>
      <c r="B63" s="29"/>
      <c r="C63" s="29"/>
      <c r="D63" s="29"/>
      <c r="E63" s="29"/>
      <c r="F63" s="30" t="s">
        <v>155</v>
      </c>
      <c r="G63" s="30"/>
      <c r="H63" s="30"/>
      <c r="I63" s="31">
        <f>4547500</f>
        <v>4547500</v>
      </c>
      <c r="J63" s="31"/>
      <c r="K63" s="32">
        <f>6863200</f>
        <v>6863200</v>
      </c>
      <c r="L63" s="32"/>
      <c r="M63" s="33">
        <f>3419920.32</f>
        <v>3419920.32</v>
      </c>
      <c r="N63" s="34" t="s">
        <v>150</v>
      </c>
      <c r="O63" s="35" t="s">
        <v>151</v>
      </c>
      <c r="P63" s="31">
        <f>1127579.68</f>
        <v>1127579.68</v>
      </c>
      <c r="Q63" s="31"/>
      <c r="R63" s="36">
        <f>3443279.68</f>
        <v>3443279.68</v>
      </c>
      <c r="S63" s="36"/>
    </row>
    <row r="64" spans="1:19" s="1" customFormat="1" ht="24" customHeight="1">
      <c r="A64" s="29" t="s">
        <v>156</v>
      </c>
      <c r="B64" s="29"/>
      <c r="C64" s="29"/>
      <c r="D64" s="29"/>
      <c r="E64" s="29"/>
      <c r="F64" s="30" t="s">
        <v>157</v>
      </c>
      <c r="G64" s="30"/>
      <c r="H64" s="30"/>
      <c r="I64" s="31">
        <f>540200</f>
        <v>540200</v>
      </c>
      <c r="J64" s="31"/>
      <c r="K64" s="32">
        <f>921400</f>
        <v>921400</v>
      </c>
      <c r="L64" s="32"/>
      <c r="M64" s="33">
        <f>344817.3</f>
        <v>344817.3</v>
      </c>
      <c r="N64" s="34" t="s">
        <v>158</v>
      </c>
      <c r="O64" s="35" t="s">
        <v>159</v>
      </c>
      <c r="P64" s="31">
        <f>195382.7</f>
        <v>195382.7</v>
      </c>
      <c r="Q64" s="31"/>
      <c r="R64" s="36">
        <f>576582.7</f>
        <v>576582.7</v>
      </c>
      <c r="S64" s="36"/>
    </row>
    <row r="65" spans="1:19" s="1" customFormat="1" ht="13.5" customHeight="1">
      <c r="A65" s="29" t="s">
        <v>160</v>
      </c>
      <c r="B65" s="29"/>
      <c r="C65" s="29"/>
      <c r="D65" s="29"/>
      <c r="E65" s="29"/>
      <c r="F65" s="30" t="s">
        <v>161</v>
      </c>
      <c r="G65" s="30"/>
      <c r="H65" s="30"/>
      <c r="I65" s="31">
        <f>540200</f>
        <v>540200</v>
      </c>
      <c r="J65" s="31"/>
      <c r="K65" s="32">
        <f>921400</f>
        <v>921400</v>
      </c>
      <c r="L65" s="32"/>
      <c r="M65" s="33">
        <f>344817.3</f>
        <v>344817.3</v>
      </c>
      <c r="N65" s="34" t="s">
        <v>158</v>
      </c>
      <c r="O65" s="35" t="s">
        <v>159</v>
      </c>
      <c r="P65" s="31">
        <f>195382.7</f>
        <v>195382.7</v>
      </c>
      <c r="Q65" s="31"/>
      <c r="R65" s="36">
        <f>576582.7</f>
        <v>576582.7</v>
      </c>
      <c r="S65" s="36"/>
    </row>
    <row r="66" spans="1:19" s="1" customFormat="1" ht="24" customHeight="1">
      <c r="A66" s="29" t="s">
        <v>162</v>
      </c>
      <c r="B66" s="29"/>
      <c r="C66" s="29"/>
      <c r="D66" s="29"/>
      <c r="E66" s="29"/>
      <c r="F66" s="30" t="s">
        <v>163</v>
      </c>
      <c r="G66" s="30"/>
      <c r="H66" s="30"/>
      <c r="I66" s="31">
        <f>540200</f>
        <v>540200</v>
      </c>
      <c r="J66" s="31"/>
      <c r="K66" s="32">
        <f>921400</f>
        <v>921400</v>
      </c>
      <c r="L66" s="32"/>
      <c r="M66" s="33">
        <f>344817.3</f>
        <v>344817.3</v>
      </c>
      <c r="N66" s="34" t="s">
        <v>158</v>
      </c>
      <c r="O66" s="35" t="s">
        <v>159</v>
      </c>
      <c r="P66" s="31">
        <f>195382.7</f>
        <v>195382.7</v>
      </c>
      <c r="Q66" s="31"/>
      <c r="R66" s="36">
        <f>576582.7</f>
        <v>576582.7</v>
      </c>
      <c r="S66" s="36"/>
    </row>
    <row r="67" spans="1:19" s="1" customFormat="1" ht="13.5" customHeight="1">
      <c r="A67" s="29" t="s">
        <v>164</v>
      </c>
      <c r="B67" s="29"/>
      <c r="C67" s="29"/>
      <c r="D67" s="29"/>
      <c r="E67" s="29"/>
      <c r="F67" s="30" t="s">
        <v>165</v>
      </c>
      <c r="G67" s="30"/>
      <c r="H67" s="30"/>
      <c r="I67" s="31">
        <f>53685833.95</f>
        <v>53685833.95</v>
      </c>
      <c r="J67" s="31"/>
      <c r="K67" s="32">
        <f>69869236.23</f>
        <v>69869236.23</v>
      </c>
      <c r="L67" s="32"/>
      <c r="M67" s="33">
        <f>39176889.74</f>
        <v>39176889.74</v>
      </c>
      <c r="N67" s="34" t="s">
        <v>166</v>
      </c>
      <c r="O67" s="35" t="s">
        <v>167</v>
      </c>
      <c r="P67" s="31">
        <f>14508944.21</f>
        <v>14508944.21</v>
      </c>
      <c r="Q67" s="31"/>
      <c r="R67" s="36">
        <f>30692346.49</f>
        <v>30692346.49</v>
      </c>
      <c r="S67" s="36"/>
    </row>
    <row r="68" spans="1:19" s="1" customFormat="1" ht="33.75" customHeight="1">
      <c r="A68" s="29" t="s">
        <v>168</v>
      </c>
      <c r="B68" s="29"/>
      <c r="C68" s="29"/>
      <c r="D68" s="29"/>
      <c r="E68" s="29"/>
      <c r="F68" s="30" t="s">
        <v>169</v>
      </c>
      <c r="G68" s="30"/>
      <c r="H68" s="30"/>
      <c r="I68" s="31">
        <f>53685833.95</f>
        <v>53685833.95</v>
      </c>
      <c r="J68" s="31"/>
      <c r="K68" s="32">
        <f>69869236.23</f>
        <v>69869236.23</v>
      </c>
      <c r="L68" s="32"/>
      <c r="M68" s="33">
        <f>39176889.74</f>
        <v>39176889.74</v>
      </c>
      <c r="N68" s="34" t="s">
        <v>166</v>
      </c>
      <c r="O68" s="35" t="s">
        <v>167</v>
      </c>
      <c r="P68" s="31">
        <f>14508944.21</f>
        <v>14508944.21</v>
      </c>
      <c r="Q68" s="31"/>
      <c r="R68" s="36">
        <f>30692346.49</f>
        <v>30692346.49</v>
      </c>
      <c r="S68" s="36"/>
    </row>
    <row r="69" spans="1:19" s="1" customFormat="1" ht="24" customHeight="1">
      <c r="A69" s="29" t="s">
        <v>170</v>
      </c>
      <c r="B69" s="29"/>
      <c r="C69" s="29"/>
      <c r="D69" s="29"/>
      <c r="E69" s="29"/>
      <c r="F69" s="30" t="s">
        <v>171</v>
      </c>
      <c r="G69" s="30"/>
      <c r="H69" s="30"/>
      <c r="I69" s="31">
        <f>43857000</f>
        <v>43857000</v>
      </c>
      <c r="J69" s="31"/>
      <c r="K69" s="32">
        <f>58475500</f>
        <v>58475500</v>
      </c>
      <c r="L69" s="32"/>
      <c r="M69" s="33">
        <f>34111000</f>
        <v>34111000</v>
      </c>
      <c r="N69" s="34" t="s">
        <v>172</v>
      </c>
      <c r="O69" s="35" t="s">
        <v>173</v>
      </c>
      <c r="P69" s="31">
        <f>9746000</f>
        <v>9746000</v>
      </c>
      <c r="Q69" s="31"/>
      <c r="R69" s="36">
        <f>24364500</f>
        <v>24364500</v>
      </c>
      <c r="S69" s="36"/>
    </row>
    <row r="70" spans="1:19" s="1" customFormat="1" ht="24" customHeight="1">
      <c r="A70" s="29" t="s">
        <v>174</v>
      </c>
      <c r="B70" s="29"/>
      <c r="C70" s="29"/>
      <c r="D70" s="29"/>
      <c r="E70" s="29"/>
      <c r="F70" s="30" t="s">
        <v>175</v>
      </c>
      <c r="G70" s="30"/>
      <c r="H70" s="30"/>
      <c r="I70" s="31">
        <f>43857000</f>
        <v>43857000</v>
      </c>
      <c r="J70" s="31"/>
      <c r="K70" s="32">
        <f>58475500</f>
        <v>58475500</v>
      </c>
      <c r="L70" s="32"/>
      <c r="M70" s="33">
        <f>34111000</f>
        <v>34111000</v>
      </c>
      <c r="N70" s="34" t="s">
        <v>172</v>
      </c>
      <c r="O70" s="35" t="s">
        <v>173</v>
      </c>
      <c r="P70" s="31">
        <f>9746000</f>
        <v>9746000</v>
      </c>
      <c r="Q70" s="31"/>
      <c r="R70" s="36">
        <f>24364500</f>
        <v>24364500</v>
      </c>
      <c r="S70" s="36"/>
    </row>
    <row r="71" spans="1:19" s="1" customFormat="1" ht="24" customHeight="1">
      <c r="A71" s="29" t="s">
        <v>176</v>
      </c>
      <c r="B71" s="29"/>
      <c r="C71" s="29"/>
      <c r="D71" s="29"/>
      <c r="E71" s="29"/>
      <c r="F71" s="30" t="s">
        <v>177</v>
      </c>
      <c r="G71" s="30"/>
      <c r="H71" s="30"/>
      <c r="I71" s="31">
        <f>43857000</f>
        <v>43857000</v>
      </c>
      <c r="J71" s="31"/>
      <c r="K71" s="32">
        <f>58475500</f>
        <v>58475500</v>
      </c>
      <c r="L71" s="32"/>
      <c r="M71" s="33">
        <f>34111000</f>
        <v>34111000</v>
      </c>
      <c r="N71" s="34" t="s">
        <v>172</v>
      </c>
      <c r="O71" s="35" t="s">
        <v>173</v>
      </c>
      <c r="P71" s="31">
        <f>9746000</f>
        <v>9746000</v>
      </c>
      <c r="Q71" s="31"/>
      <c r="R71" s="36">
        <f>24364500</f>
        <v>24364500</v>
      </c>
      <c r="S71" s="36"/>
    </row>
    <row r="72" spans="1:19" s="1" customFormat="1" ht="24" customHeight="1">
      <c r="A72" s="29" t="s">
        <v>178</v>
      </c>
      <c r="B72" s="29"/>
      <c r="C72" s="29"/>
      <c r="D72" s="29"/>
      <c r="E72" s="29"/>
      <c r="F72" s="30" t="s">
        <v>179</v>
      </c>
      <c r="G72" s="30"/>
      <c r="H72" s="30"/>
      <c r="I72" s="31">
        <f>454814.72</f>
        <v>454814.72</v>
      </c>
      <c r="J72" s="31"/>
      <c r="K72" s="32">
        <f>543800</f>
        <v>543800</v>
      </c>
      <c r="L72" s="32"/>
      <c r="M72" s="33">
        <f>421610.51</f>
        <v>421610.51</v>
      </c>
      <c r="N72" s="34" t="s">
        <v>180</v>
      </c>
      <c r="O72" s="35" t="s">
        <v>181</v>
      </c>
      <c r="P72" s="31">
        <f>33204.21</f>
        <v>33204.21</v>
      </c>
      <c r="Q72" s="31"/>
      <c r="R72" s="36">
        <f>122189.49</f>
        <v>122189.49</v>
      </c>
      <c r="S72" s="36"/>
    </row>
    <row r="73" spans="1:19" s="1" customFormat="1" ht="33.75" customHeight="1">
      <c r="A73" s="29" t="s">
        <v>182</v>
      </c>
      <c r="B73" s="29"/>
      <c r="C73" s="29"/>
      <c r="D73" s="29"/>
      <c r="E73" s="29"/>
      <c r="F73" s="30" t="s">
        <v>183</v>
      </c>
      <c r="G73" s="30"/>
      <c r="H73" s="30"/>
      <c r="I73" s="31">
        <f>342814.72</f>
        <v>342814.72</v>
      </c>
      <c r="J73" s="31"/>
      <c r="K73" s="32">
        <f>393800</f>
        <v>393800</v>
      </c>
      <c r="L73" s="32"/>
      <c r="M73" s="33">
        <f>316446.01</f>
        <v>316446.01</v>
      </c>
      <c r="N73" s="34" t="s">
        <v>184</v>
      </c>
      <c r="O73" s="35" t="s">
        <v>185</v>
      </c>
      <c r="P73" s="31">
        <f>26368.71</f>
        <v>26368.71</v>
      </c>
      <c r="Q73" s="31"/>
      <c r="R73" s="36">
        <f>77353.99</f>
        <v>77353.99</v>
      </c>
      <c r="S73" s="36"/>
    </row>
    <row r="74" spans="1:19" s="1" customFormat="1" ht="45" customHeight="1">
      <c r="A74" s="29" t="s">
        <v>186</v>
      </c>
      <c r="B74" s="29"/>
      <c r="C74" s="29"/>
      <c r="D74" s="29"/>
      <c r="E74" s="29"/>
      <c r="F74" s="30" t="s">
        <v>187</v>
      </c>
      <c r="G74" s="30"/>
      <c r="H74" s="30"/>
      <c r="I74" s="31">
        <f>342814.72</f>
        <v>342814.72</v>
      </c>
      <c r="J74" s="31"/>
      <c r="K74" s="32">
        <f>393800</f>
        <v>393800</v>
      </c>
      <c r="L74" s="32"/>
      <c r="M74" s="33">
        <f>316446.01</f>
        <v>316446.01</v>
      </c>
      <c r="N74" s="34" t="s">
        <v>184</v>
      </c>
      <c r="O74" s="35" t="s">
        <v>185</v>
      </c>
      <c r="P74" s="31">
        <f>26368.71</f>
        <v>26368.71</v>
      </c>
      <c r="Q74" s="31"/>
      <c r="R74" s="36">
        <f>77353.99</f>
        <v>77353.99</v>
      </c>
      <c r="S74" s="36"/>
    </row>
    <row r="75" spans="1:19" s="1" customFormat="1" ht="24" customHeight="1">
      <c r="A75" s="29" t="s">
        <v>188</v>
      </c>
      <c r="B75" s="29"/>
      <c r="C75" s="29"/>
      <c r="D75" s="29"/>
      <c r="E75" s="29"/>
      <c r="F75" s="30" t="s">
        <v>189</v>
      </c>
      <c r="G75" s="30"/>
      <c r="H75" s="30"/>
      <c r="I75" s="31">
        <f>112000</f>
        <v>112000</v>
      </c>
      <c r="J75" s="31"/>
      <c r="K75" s="32">
        <f>150000</f>
        <v>150000</v>
      </c>
      <c r="L75" s="32"/>
      <c r="M75" s="33">
        <f>105164.5</f>
        <v>105164.5</v>
      </c>
      <c r="N75" s="34" t="s">
        <v>190</v>
      </c>
      <c r="O75" s="35" t="s">
        <v>191</v>
      </c>
      <c r="P75" s="31">
        <f>6835.5</f>
        <v>6835.5</v>
      </c>
      <c r="Q75" s="31"/>
      <c r="R75" s="36">
        <f>44835.5</f>
        <v>44835.5</v>
      </c>
      <c r="S75" s="36"/>
    </row>
    <row r="76" spans="1:19" s="1" customFormat="1" ht="33.75" customHeight="1">
      <c r="A76" s="29" t="s">
        <v>192</v>
      </c>
      <c r="B76" s="29"/>
      <c r="C76" s="29"/>
      <c r="D76" s="29"/>
      <c r="E76" s="29"/>
      <c r="F76" s="30" t="s">
        <v>193</v>
      </c>
      <c r="G76" s="30"/>
      <c r="H76" s="30"/>
      <c r="I76" s="31">
        <f>112000</f>
        <v>112000</v>
      </c>
      <c r="J76" s="31"/>
      <c r="K76" s="32">
        <f>150000</f>
        <v>150000</v>
      </c>
      <c r="L76" s="32"/>
      <c r="M76" s="33">
        <f>105164.5</f>
        <v>105164.5</v>
      </c>
      <c r="N76" s="34" t="s">
        <v>190</v>
      </c>
      <c r="O76" s="35" t="s">
        <v>191</v>
      </c>
      <c r="P76" s="31">
        <f>6835.5</f>
        <v>6835.5</v>
      </c>
      <c r="Q76" s="31"/>
      <c r="R76" s="36">
        <f>44835.5</f>
        <v>44835.5</v>
      </c>
      <c r="S76" s="36"/>
    </row>
    <row r="77" spans="1:19" s="1" customFormat="1" ht="13.5" customHeight="1">
      <c r="A77" s="29" t="s">
        <v>194</v>
      </c>
      <c r="B77" s="29"/>
      <c r="C77" s="29"/>
      <c r="D77" s="29"/>
      <c r="E77" s="29"/>
      <c r="F77" s="30" t="s">
        <v>195</v>
      </c>
      <c r="G77" s="30"/>
      <c r="H77" s="30"/>
      <c r="I77" s="31">
        <f>9374019.23</f>
        <v>9374019.23</v>
      </c>
      <c r="J77" s="31"/>
      <c r="K77" s="32">
        <f>10849936.23</f>
        <v>10849936.23</v>
      </c>
      <c r="L77" s="32"/>
      <c r="M77" s="33">
        <f>4644279.23</f>
        <v>4644279.23</v>
      </c>
      <c r="N77" s="34" t="s">
        <v>196</v>
      </c>
      <c r="O77" s="35" t="s">
        <v>197</v>
      </c>
      <c r="P77" s="31">
        <f>4729740</f>
        <v>4729740</v>
      </c>
      <c r="Q77" s="31"/>
      <c r="R77" s="36">
        <f>6205657</f>
        <v>6205657</v>
      </c>
      <c r="S77" s="36"/>
    </row>
    <row r="78" spans="1:19" s="1" customFormat="1" ht="24" customHeight="1">
      <c r="A78" s="29" t="s">
        <v>198</v>
      </c>
      <c r="B78" s="29"/>
      <c r="C78" s="29"/>
      <c r="D78" s="29"/>
      <c r="E78" s="29"/>
      <c r="F78" s="30" t="s">
        <v>199</v>
      </c>
      <c r="G78" s="30"/>
      <c r="H78" s="30"/>
      <c r="I78" s="31">
        <f>9374019.23</f>
        <v>9374019.23</v>
      </c>
      <c r="J78" s="31"/>
      <c r="K78" s="32">
        <f>10849936.23</f>
        <v>10849936.23</v>
      </c>
      <c r="L78" s="32"/>
      <c r="M78" s="33">
        <f>4644279.23</f>
        <v>4644279.23</v>
      </c>
      <c r="N78" s="34" t="s">
        <v>196</v>
      </c>
      <c r="O78" s="35" t="s">
        <v>197</v>
      </c>
      <c r="P78" s="31">
        <f>4729740</f>
        <v>4729740</v>
      </c>
      <c r="Q78" s="31"/>
      <c r="R78" s="36">
        <f>6205657</f>
        <v>6205657</v>
      </c>
      <c r="S78" s="36"/>
    </row>
    <row r="79" spans="1:19" s="1" customFormat="1" ht="24" customHeight="1">
      <c r="A79" s="29" t="s">
        <v>200</v>
      </c>
      <c r="B79" s="29"/>
      <c r="C79" s="29"/>
      <c r="D79" s="29"/>
      <c r="E79" s="29"/>
      <c r="F79" s="30" t="s">
        <v>201</v>
      </c>
      <c r="G79" s="30"/>
      <c r="H79" s="30"/>
      <c r="I79" s="31">
        <f>9374019.23</f>
        <v>9374019.23</v>
      </c>
      <c r="J79" s="31"/>
      <c r="K79" s="32">
        <f>10849936.23</f>
        <v>10849936.23</v>
      </c>
      <c r="L79" s="32"/>
      <c r="M79" s="33">
        <f>4644279.23</f>
        <v>4644279.23</v>
      </c>
      <c r="N79" s="34" t="s">
        <v>196</v>
      </c>
      <c r="O79" s="35" t="s">
        <v>197</v>
      </c>
      <c r="P79" s="31">
        <f>4729740</f>
        <v>4729740</v>
      </c>
      <c r="Q79" s="31"/>
      <c r="R79" s="36">
        <f>6205657</f>
        <v>6205657</v>
      </c>
      <c r="S79" s="36"/>
    </row>
    <row r="80" spans="1:19" s="1" customFormat="1" ht="15" customHeight="1">
      <c r="A80" s="39" t="s">
        <v>202</v>
      </c>
      <c r="B80" s="39"/>
      <c r="C80" s="39"/>
      <c r="D80" s="39"/>
      <c r="E80" s="39"/>
      <c r="F80" s="39"/>
      <c r="G80" s="39"/>
      <c r="H80" s="39"/>
      <c r="I80" s="40">
        <f>71451933.95</f>
        <v>71451933.95</v>
      </c>
      <c r="J80" s="40"/>
      <c r="K80" s="41">
        <f>93028636.23</f>
        <v>93028636.23</v>
      </c>
      <c r="L80" s="41"/>
      <c r="M80" s="42">
        <f>56017726.48</f>
        <v>56017726.48</v>
      </c>
      <c r="N80" s="42">
        <f>78.4</f>
        <v>78.4</v>
      </c>
      <c r="O80" s="43">
        <f>60.22</f>
        <v>60.22</v>
      </c>
      <c r="P80" s="40">
        <f>15434207.47</f>
        <v>15434207.47</v>
      </c>
      <c r="Q80" s="40"/>
      <c r="R80" s="44">
        <f>37010909.75</f>
        <v>37010909.75</v>
      </c>
      <c r="S80" s="44"/>
    </row>
    <row r="81" spans="1:19" s="1" customFormat="1" ht="16.5" customHeight="1">
      <c r="A81" s="45" t="s">
        <v>1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</row>
    <row r="82" spans="1:19" s="1" customFormat="1" ht="15.75" customHeight="1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</row>
    <row r="83" spans="1:19" s="1" customFormat="1" ht="13.5" customHeight="1">
      <c r="A83" s="46"/>
      <c r="B83" s="46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</row>
    <row r="84" spans="1:19" s="1" customFormat="1" ht="13.5" customHeight="1">
      <c r="A84" s="47"/>
      <c r="B84" s="47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</row>
    <row r="85" spans="1:19" s="1" customFormat="1" ht="13.5" customHeight="1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</row>
  </sheetData>
  <sheetProtection/>
  <mergeCells count="439">
    <mergeCell ref="A82:S82"/>
    <mergeCell ref="A83:B83"/>
    <mergeCell ref="C83:S83"/>
    <mergeCell ref="A84:B84"/>
    <mergeCell ref="C84:S84"/>
    <mergeCell ref="A85:S85"/>
    <mergeCell ref="A80:H80"/>
    <mergeCell ref="I80:J80"/>
    <mergeCell ref="K80:L80"/>
    <mergeCell ref="P80:Q80"/>
    <mergeCell ref="R80:S80"/>
    <mergeCell ref="A81:S81"/>
    <mergeCell ref="A79:E79"/>
    <mergeCell ref="F79:H79"/>
    <mergeCell ref="I79:J79"/>
    <mergeCell ref="K79:L79"/>
    <mergeCell ref="P79:Q79"/>
    <mergeCell ref="R79:S79"/>
    <mergeCell ref="A78:E78"/>
    <mergeCell ref="F78:H78"/>
    <mergeCell ref="I78:J78"/>
    <mergeCell ref="K78:L78"/>
    <mergeCell ref="P78:Q78"/>
    <mergeCell ref="R78:S78"/>
    <mergeCell ref="A77:E77"/>
    <mergeCell ref="F77:H77"/>
    <mergeCell ref="I77:J77"/>
    <mergeCell ref="K77:L77"/>
    <mergeCell ref="P77:Q77"/>
    <mergeCell ref="R77:S77"/>
    <mergeCell ref="A76:E76"/>
    <mergeCell ref="F76:H76"/>
    <mergeCell ref="I76:J76"/>
    <mergeCell ref="K76:L76"/>
    <mergeCell ref="P76:Q76"/>
    <mergeCell ref="R76:S76"/>
    <mergeCell ref="A75:E75"/>
    <mergeCell ref="F75:H75"/>
    <mergeCell ref="I75:J75"/>
    <mergeCell ref="K75:L75"/>
    <mergeCell ref="P75:Q75"/>
    <mergeCell ref="R75:S75"/>
    <mergeCell ref="A74:E74"/>
    <mergeCell ref="F74:H74"/>
    <mergeCell ref="I74:J74"/>
    <mergeCell ref="K74:L74"/>
    <mergeCell ref="P74:Q74"/>
    <mergeCell ref="R74:S74"/>
    <mergeCell ref="A73:E73"/>
    <mergeCell ref="F73:H73"/>
    <mergeCell ref="I73:J73"/>
    <mergeCell ref="K73:L73"/>
    <mergeCell ref="P73:Q73"/>
    <mergeCell ref="R73:S73"/>
    <mergeCell ref="A72:E72"/>
    <mergeCell ref="F72:H72"/>
    <mergeCell ref="I72:J72"/>
    <mergeCell ref="K72:L72"/>
    <mergeCell ref="P72:Q72"/>
    <mergeCell ref="R72:S72"/>
    <mergeCell ref="A71:E71"/>
    <mergeCell ref="F71:H71"/>
    <mergeCell ref="I71:J71"/>
    <mergeCell ref="K71:L71"/>
    <mergeCell ref="P71:Q71"/>
    <mergeCell ref="R71:S71"/>
    <mergeCell ref="A70:E70"/>
    <mergeCell ref="F70:H70"/>
    <mergeCell ref="I70:J70"/>
    <mergeCell ref="K70:L70"/>
    <mergeCell ref="P70:Q70"/>
    <mergeCell ref="R70:S70"/>
    <mergeCell ref="A69:E69"/>
    <mergeCell ref="F69:H69"/>
    <mergeCell ref="I69:J69"/>
    <mergeCell ref="K69:L69"/>
    <mergeCell ref="P69:Q69"/>
    <mergeCell ref="R69:S69"/>
    <mergeCell ref="A68:E68"/>
    <mergeCell ref="F68:H68"/>
    <mergeCell ref="I68:J68"/>
    <mergeCell ref="K68:L68"/>
    <mergeCell ref="P68:Q68"/>
    <mergeCell ref="R68:S68"/>
    <mergeCell ref="A67:E67"/>
    <mergeCell ref="F67:H67"/>
    <mergeCell ref="I67:J67"/>
    <mergeCell ref="K67:L67"/>
    <mergeCell ref="P67:Q67"/>
    <mergeCell ref="R67:S67"/>
    <mergeCell ref="A66:E66"/>
    <mergeCell ref="F66:H66"/>
    <mergeCell ref="I66:J66"/>
    <mergeCell ref="K66:L66"/>
    <mergeCell ref="P66:Q66"/>
    <mergeCell ref="R66:S66"/>
    <mergeCell ref="A65:E65"/>
    <mergeCell ref="F65:H65"/>
    <mergeCell ref="I65:J65"/>
    <mergeCell ref="K65:L65"/>
    <mergeCell ref="P65:Q65"/>
    <mergeCell ref="R65:S65"/>
    <mergeCell ref="A64:E64"/>
    <mergeCell ref="F64:H64"/>
    <mergeCell ref="I64:J64"/>
    <mergeCell ref="K64:L64"/>
    <mergeCell ref="P64:Q64"/>
    <mergeCell ref="R64:S64"/>
    <mergeCell ref="A63:E63"/>
    <mergeCell ref="F63:H63"/>
    <mergeCell ref="I63:J63"/>
    <mergeCell ref="K63:L63"/>
    <mergeCell ref="P63:Q63"/>
    <mergeCell ref="R63:S63"/>
    <mergeCell ref="A62:E62"/>
    <mergeCell ref="F62:H62"/>
    <mergeCell ref="I62:J62"/>
    <mergeCell ref="K62:L62"/>
    <mergeCell ref="P62:Q62"/>
    <mergeCell ref="R62:S62"/>
    <mergeCell ref="A61:E61"/>
    <mergeCell ref="F61:H61"/>
    <mergeCell ref="I61:J61"/>
    <mergeCell ref="K61:L61"/>
    <mergeCell ref="P61:Q61"/>
    <mergeCell ref="R61:S61"/>
    <mergeCell ref="A60:E60"/>
    <mergeCell ref="F60:H60"/>
    <mergeCell ref="I60:J60"/>
    <mergeCell ref="K60:L60"/>
    <mergeCell ref="P60:Q60"/>
    <mergeCell ref="R60:S60"/>
    <mergeCell ref="A59:E59"/>
    <mergeCell ref="F59:H59"/>
    <mergeCell ref="I59:J59"/>
    <mergeCell ref="K59:L59"/>
    <mergeCell ref="P59:Q59"/>
    <mergeCell ref="R59:S59"/>
    <mergeCell ref="A58:E58"/>
    <mergeCell ref="F58:H58"/>
    <mergeCell ref="I58:J58"/>
    <mergeCell ref="K58:L58"/>
    <mergeCell ref="P58:Q58"/>
    <mergeCell ref="R58:S58"/>
    <mergeCell ref="A57:E57"/>
    <mergeCell ref="F57:H57"/>
    <mergeCell ref="I57:J57"/>
    <mergeCell ref="K57:L57"/>
    <mergeCell ref="P57:Q57"/>
    <mergeCell ref="R57:S57"/>
    <mergeCell ref="A56:E56"/>
    <mergeCell ref="F56:H56"/>
    <mergeCell ref="I56:J56"/>
    <mergeCell ref="K56:L56"/>
    <mergeCell ref="P56:Q56"/>
    <mergeCell ref="R56:S56"/>
    <mergeCell ref="A55:E55"/>
    <mergeCell ref="F55:H55"/>
    <mergeCell ref="I55:J55"/>
    <mergeCell ref="K55:L55"/>
    <mergeCell ref="P55:Q55"/>
    <mergeCell ref="R55:S55"/>
    <mergeCell ref="A54:E54"/>
    <mergeCell ref="F54:H54"/>
    <mergeCell ref="I54:J54"/>
    <mergeCell ref="K54:L54"/>
    <mergeCell ref="P54:Q54"/>
    <mergeCell ref="R54:S54"/>
    <mergeCell ref="A53:E53"/>
    <mergeCell ref="F53:H53"/>
    <mergeCell ref="I53:J53"/>
    <mergeCell ref="K53:L53"/>
    <mergeCell ref="P53:Q53"/>
    <mergeCell ref="R53:S53"/>
    <mergeCell ref="A52:E52"/>
    <mergeCell ref="F52:H52"/>
    <mergeCell ref="I52:J52"/>
    <mergeCell ref="K52:L52"/>
    <mergeCell ref="P52:Q52"/>
    <mergeCell ref="R52:S52"/>
    <mergeCell ref="A51:E51"/>
    <mergeCell ref="F51:H51"/>
    <mergeCell ref="I51:J51"/>
    <mergeCell ref="K51:L51"/>
    <mergeCell ref="P51:Q51"/>
    <mergeCell ref="R51:S51"/>
    <mergeCell ref="A50:E50"/>
    <mergeCell ref="F50:H50"/>
    <mergeCell ref="I50:J50"/>
    <mergeCell ref="K50:L50"/>
    <mergeCell ref="P50:Q50"/>
    <mergeCell ref="R50:S50"/>
    <mergeCell ref="A49:E49"/>
    <mergeCell ref="F49:H49"/>
    <mergeCell ref="I49:J49"/>
    <mergeCell ref="K49:L49"/>
    <mergeCell ref="P49:Q49"/>
    <mergeCell ref="R49:S49"/>
    <mergeCell ref="A48:E48"/>
    <mergeCell ref="F48:H48"/>
    <mergeCell ref="I48:J48"/>
    <mergeCell ref="K48:L48"/>
    <mergeCell ref="P48:Q48"/>
    <mergeCell ref="R48:S48"/>
    <mergeCell ref="A47:E47"/>
    <mergeCell ref="F47:H47"/>
    <mergeCell ref="I47:J47"/>
    <mergeCell ref="K47:L47"/>
    <mergeCell ref="P47:Q47"/>
    <mergeCell ref="R47:S47"/>
    <mergeCell ref="A46:E46"/>
    <mergeCell ref="F46:H46"/>
    <mergeCell ref="I46:J46"/>
    <mergeCell ref="K46:L46"/>
    <mergeCell ref="P46:Q46"/>
    <mergeCell ref="R46:S46"/>
    <mergeCell ref="A45:E45"/>
    <mergeCell ref="F45:H45"/>
    <mergeCell ref="I45:J45"/>
    <mergeCell ref="K45:L45"/>
    <mergeCell ref="P45:Q45"/>
    <mergeCell ref="R45:S45"/>
    <mergeCell ref="A44:E44"/>
    <mergeCell ref="F44:H44"/>
    <mergeCell ref="I44:J44"/>
    <mergeCell ref="K44:L44"/>
    <mergeCell ref="P44:Q44"/>
    <mergeCell ref="R44:S44"/>
    <mergeCell ref="A43:E43"/>
    <mergeCell ref="F43:H43"/>
    <mergeCell ref="I43:J43"/>
    <mergeCell ref="K43:L43"/>
    <mergeCell ref="P43:Q43"/>
    <mergeCell ref="R43:S43"/>
    <mergeCell ref="A42:E42"/>
    <mergeCell ref="F42:H42"/>
    <mergeCell ref="I42:J42"/>
    <mergeCell ref="K42:L42"/>
    <mergeCell ref="P42:Q42"/>
    <mergeCell ref="R42:S42"/>
    <mergeCell ref="A41:E41"/>
    <mergeCell ref="F41:H41"/>
    <mergeCell ref="I41:J41"/>
    <mergeCell ref="K41:L41"/>
    <mergeCell ref="P41:Q41"/>
    <mergeCell ref="R41:S41"/>
    <mergeCell ref="A40:E40"/>
    <mergeCell ref="F40:H40"/>
    <mergeCell ref="I40:J40"/>
    <mergeCell ref="K40:L40"/>
    <mergeCell ref="P40:Q40"/>
    <mergeCell ref="R40:S40"/>
    <mergeCell ref="A39:E39"/>
    <mergeCell ref="F39:H39"/>
    <mergeCell ref="I39:J39"/>
    <mergeCell ref="K39:L39"/>
    <mergeCell ref="P39:Q39"/>
    <mergeCell ref="R39:S39"/>
    <mergeCell ref="A38:E38"/>
    <mergeCell ref="F38:H38"/>
    <mergeCell ref="I38:J38"/>
    <mergeCell ref="K38:L38"/>
    <mergeCell ref="P38:Q38"/>
    <mergeCell ref="R38:S38"/>
    <mergeCell ref="A37:E37"/>
    <mergeCell ref="F37:H37"/>
    <mergeCell ref="I37:J37"/>
    <mergeCell ref="K37:L37"/>
    <mergeCell ref="P37:Q37"/>
    <mergeCell ref="R37:S37"/>
    <mergeCell ref="A36:E36"/>
    <mergeCell ref="F36:H36"/>
    <mergeCell ref="I36:J36"/>
    <mergeCell ref="K36:L36"/>
    <mergeCell ref="P36:Q36"/>
    <mergeCell ref="R36:S36"/>
    <mergeCell ref="A35:E35"/>
    <mergeCell ref="F35:H35"/>
    <mergeCell ref="I35:J35"/>
    <mergeCell ref="K35:L35"/>
    <mergeCell ref="P35:Q35"/>
    <mergeCell ref="R35:S35"/>
    <mergeCell ref="A34:E34"/>
    <mergeCell ref="F34:H34"/>
    <mergeCell ref="I34:J34"/>
    <mergeCell ref="K34:L34"/>
    <mergeCell ref="P34:Q34"/>
    <mergeCell ref="R34:S34"/>
    <mergeCell ref="A33:E33"/>
    <mergeCell ref="F33:H33"/>
    <mergeCell ref="I33:J33"/>
    <mergeCell ref="K33:L33"/>
    <mergeCell ref="P33:Q33"/>
    <mergeCell ref="R33:S33"/>
    <mergeCell ref="A32:E32"/>
    <mergeCell ref="F32:H32"/>
    <mergeCell ref="I32:J32"/>
    <mergeCell ref="K32:L32"/>
    <mergeCell ref="P32:Q32"/>
    <mergeCell ref="R32:S32"/>
    <mergeCell ref="A31:E31"/>
    <mergeCell ref="F31:H31"/>
    <mergeCell ref="I31:J31"/>
    <mergeCell ref="K31:L31"/>
    <mergeCell ref="P31:Q31"/>
    <mergeCell ref="R31:S31"/>
    <mergeCell ref="A30:E30"/>
    <mergeCell ref="F30:H30"/>
    <mergeCell ref="I30:J30"/>
    <mergeCell ref="K30:L30"/>
    <mergeCell ref="P30:Q30"/>
    <mergeCell ref="R30:S30"/>
    <mergeCell ref="A29:E29"/>
    <mergeCell ref="F29:H29"/>
    <mergeCell ref="I29:J29"/>
    <mergeCell ref="K29:L29"/>
    <mergeCell ref="P29:Q29"/>
    <mergeCell ref="R29:S29"/>
    <mergeCell ref="A28:E28"/>
    <mergeCell ref="F28:H28"/>
    <mergeCell ref="I28:J28"/>
    <mergeCell ref="K28:L28"/>
    <mergeCell ref="P28:Q28"/>
    <mergeCell ref="R28:S28"/>
    <mergeCell ref="A27:E27"/>
    <mergeCell ref="F27:H27"/>
    <mergeCell ref="I27:J27"/>
    <mergeCell ref="K27:L27"/>
    <mergeCell ref="P27:Q27"/>
    <mergeCell ref="R27:S27"/>
    <mergeCell ref="A26:E26"/>
    <mergeCell ref="F26:H26"/>
    <mergeCell ref="I26:J26"/>
    <mergeCell ref="K26:L26"/>
    <mergeCell ref="P26:Q26"/>
    <mergeCell ref="R26:S26"/>
    <mergeCell ref="A25:E25"/>
    <mergeCell ref="F25:H25"/>
    <mergeCell ref="I25:J25"/>
    <mergeCell ref="K25:L25"/>
    <mergeCell ref="P25:Q25"/>
    <mergeCell ref="R25:S25"/>
    <mergeCell ref="A24:E24"/>
    <mergeCell ref="F24:H24"/>
    <mergeCell ref="I24:J24"/>
    <mergeCell ref="K24:L24"/>
    <mergeCell ref="P24:Q24"/>
    <mergeCell ref="R24:S24"/>
    <mergeCell ref="A23:E23"/>
    <mergeCell ref="F23:H23"/>
    <mergeCell ref="I23:J23"/>
    <mergeCell ref="K23:L23"/>
    <mergeCell ref="P23:Q23"/>
    <mergeCell ref="R23:S23"/>
    <mergeCell ref="A22:E22"/>
    <mergeCell ref="F22:H22"/>
    <mergeCell ref="I22:J22"/>
    <mergeCell ref="K22:L22"/>
    <mergeCell ref="P22:Q22"/>
    <mergeCell ref="R22:S22"/>
    <mergeCell ref="A21:E21"/>
    <mergeCell ref="F21:H21"/>
    <mergeCell ref="I21:J21"/>
    <mergeCell ref="K21:L21"/>
    <mergeCell ref="P21:Q21"/>
    <mergeCell ref="R21:S21"/>
    <mergeCell ref="A20:E20"/>
    <mergeCell ref="F20:H20"/>
    <mergeCell ref="I20:J20"/>
    <mergeCell ref="K20:L20"/>
    <mergeCell ref="P20:Q20"/>
    <mergeCell ref="R20:S20"/>
    <mergeCell ref="A19:E19"/>
    <mergeCell ref="F19:H19"/>
    <mergeCell ref="I19:J19"/>
    <mergeCell ref="K19:L19"/>
    <mergeCell ref="P19:Q19"/>
    <mergeCell ref="R19:S19"/>
    <mergeCell ref="A18:E18"/>
    <mergeCell ref="F18:H18"/>
    <mergeCell ref="I18:J18"/>
    <mergeCell ref="K18:L18"/>
    <mergeCell ref="P18:Q18"/>
    <mergeCell ref="R18:S18"/>
    <mergeCell ref="A17:E17"/>
    <mergeCell ref="F17:H17"/>
    <mergeCell ref="I17:J17"/>
    <mergeCell ref="K17:L17"/>
    <mergeCell ref="P17:Q17"/>
    <mergeCell ref="R17:S17"/>
    <mergeCell ref="A16:E16"/>
    <mergeCell ref="F16:H16"/>
    <mergeCell ref="I16:J16"/>
    <mergeCell ref="K16:L16"/>
    <mergeCell ref="P16:Q16"/>
    <mergeCell ref="R16:S16"/>
    <mergeCell ref="A15:E15"/>
    <mergeCell ref="F15:H15"/>
    <mergeCell ref="I15:J15"/>
    <mergeCell ref="K15:L15"/>
    <mergeCell ref="P15:Q15"/>
    <mergeCell ref="R15:S15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A7:C7"/>
    <mergeCell ref="D7:P7"/>
    <mergeCell ref="Q7:R7"/>
    <mergeCell ref="A8:D8"/>
    <mergeCell ref="E8:P8"/>
    <mergeCell ref="Q8:R8"/>
    <mergeCell ref="A5:F5"/>
    <mergeCell ref="G5:P5"/>
    <mergeCell ref="Q5:R5"/>
    <mergeCell ref="A6:G6"/>
    <mergeCell ref="H6:P6"/>
    <mergeCell ref="Q6:R6"/>
    <mergeCell ref="A1:S1"/>
    <mergeCell ref="A2:R2"/>
    <mergeCell ref="A3:I3"/>
    <mergeCell ref="J3:K3"/>
    <mergeCell ref="L3:R3"/>
    <mergeCell ref="A4:R4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Валентиновна Шестакова</dc:creator>
  <cp:keywords/>
  <dc:description/>
  <cp:lastModifiedBy>Валентина Валентиновна Шестакова</cp:lastModifiedBy>
  <dcterms:created xsi:type="dcterms:W3CDTF">2019-07-26T07:03:11Z</dcterms:created>
  <dcterms:modified xsi:type="dcterms:W3CDTF">2019-07-26T07:03:11Z</dcterms:modified>
  <cp:category/>
  <cp:version/>
  <cp:contentType/>
  <cp:contentStatus/>
</cp:coreProperties>
</file>